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11" activeTab="16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3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z adósság kötelezettség" sheetId="14" r:id="rId14"/>
    <sheet name="12. saját bevételek" sheetId="15" r:id="rId15"/>
    <sheet name="13. sz.m. előir felh terv" sheetId="16" r:id="rId16"/>
    <sheet name="14.sz.m. állami támogatás " sheetId="17" r:id="rId17"/>
    <sheet name="üres lap" sheetId="18" r:id="rId18"/>
  </sheets>
  <definedNames>
    <definedName name="_xlnm.Print_Area" localSheetId="1">'1 .sz.m.önk.össz.kiad.'!$A$1:$AE$66</definedName>
    <definedName name="_xlnm.Print_Area" localSheetId="0">'1.sz.m-önk.össze.bev'!$A$1:$X$63</definedName>
    <definedName name="_xlnm.Print_Area" localSheetId="12">'10.sz.m.átadott pe (3)'!$A$1:$AA$82</definedName>
    <definedName name="_xlnm.Print_Area" localSheetId="13">'11. sz adósság kötelezettség'!$A$1:$F$25</definedName>
    <definedName name="_xlnm.Print_Area" localSheetId="15">'13. sz.m. előir felh terv'!$A$1:$O$22</definedName>
    <definedName name="_xlnm.Print_Area" localSheetId="2">'2.sz.m.összehasonlító'!$A$1:$N$31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Hiv'!$A$1:$Z$51</definedName>
    <definedName name="_xlnm.Print_Area" localSheetId="6">'5.2 sz. m ÁMK'!$A$1:$U$56</definedName>
    <definedName name="_xlnm.Print_Area" localSheetId="7">'6 .sz.m. Létszám (2)'!$A$1:$AQ$16</definedName>
    <definedName name="_xlnm.Print_Area" localSheetId="8">'7.a.sz.m.fejlesztés (3)'!$A$1:$X$32</definedName>
    <definedName name="_xlnm.Print_Area" localSheetId="9">'7.b.sz.m.intfejl (2)'!$A$1:$J$20</definedName>
    <definedName name="_xlnm.Print_Area" localSheetId="10">'8.sz.m.Dologi kiadás (3)'!$A$1:$X$21</definedName>
    <definedName name="_xlnm.Print_Area" localSheetId="11">'9.sz.m.szociális kiadások (2)'!$A$1:$W$34</definedName>
    <definedName name="_xlnm.Print_Area" localSheetId="17">'üres lap'!$A$1:$R$44</definedName>
  </definedNames>
  <calcPr fullCalcOnLoad="1"/>
</workbook>
</file>

<file path=xl/sharedStrings.xml><?xml version="1.0" encoding="utf-8"?>
<sst xmlns="http://schemas.openxmlformats.org/spreadsheetml/2006/main" count="1490" uniqueCount="614">
  <si>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</si>
  <si>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</si>
  <si>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</si>
  <si>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</si>
  <si>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</si>
  <si>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</si>
  <si>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</si>
  <si>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</si>
  <si>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</si>
  <si>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</si>
  <si>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</si>
  <si>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</si>
  <si>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</si>
  <si>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</si>
  <si>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</si>
  <si>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</si>
  <si>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</si>
  <si>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</si>
  <si>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</si>
  <si>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</si>
  <si>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</si>
  <si>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</si>
  <si>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</si>
  <si>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</si>
  <si>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</si>
  <si>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</si>
  <si>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</si>
  <si>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</si>
  <si>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</si>
  <si>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</si>
  <si>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</si>
  <si>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</si>
  <si>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</si>
  <si>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</si>
  <si>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</si>
  <si>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</si>
  <si>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</si>
  <si>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</si>
  <si>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</si>
  <si>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</si>
  <si>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</si>
  <si>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</si>
  <si>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</si>
  <si>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</si>
  <si>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</si>
  <si>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</si>
  <si>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</si>
  <si>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</si>
  <si>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</si>
  <si>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</si>
  <si>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</si>
  <si>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</si>
  <si>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</si>
  <si>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</si>
  <si>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</si>
  <si>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</si>
  <si>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</si>
  <si>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</si>
  <si>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</si>
  <si>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</si>
  <si>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</si>
  <si>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</si>
  <si>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</si>
  <si>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</si>
  <si>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</si>
  <si>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</si>
  <si>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</si>
  <si>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</si>
  <si>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</si>
  <si>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</si>
  <si>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</si>
  <si>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</si>
  <si>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</si>
  <si>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</si>
  <si>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</si>
  <si>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</si>
  <si>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</si>
  <si>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</si>
  <si>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</si>
  <si>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</si>
  <si>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</si>
  <si>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</si>
  <si>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</si>
  <si>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</si>
  <si>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</si>
  <si>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</si>
  <si>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</si>
  <si>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</si>
  <si>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</si>
  <si>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</si>
  <si>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</si>
  <si>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</si>
  <si>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</si>
  <si>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</si>
  <si>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</si>
  <si>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</si>
  <si>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</si>
  <si>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</si>
  <si>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</si>
  <si>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</si>
  <si>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</si>
  <si>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</si>
  <si>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</si>
  <si>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</si>
  <si>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</si>
  <si>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</si>
  <si>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</si>
  <si>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</si>
  <si>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</si>
  <si>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</si>
  <si>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</si>
  <si>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</si>
  <si>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</si>
  <si>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</si>
  <si>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</si>
  <si>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</si>
  <si>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</si>
  <si>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</si>
  <si>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</si>
  <si>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</si>
  <si>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</si>
  <si>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</si>
  <si>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</si>
  <si>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</si>
  <si>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</si>
  <si>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</si>
  <si>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</si>
  <si>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</si>
  <si>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</si>
  <si>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</si>
  <si>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</si>
  <si>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</si>
  <si>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</si>
  <si>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</si>
  <si>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</si>
  <si>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</si>
  <si>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</si>
  <si>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</si>
  <si>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</si>
  <si>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</si>
  <si>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</si>
  <si>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</si>
  <si>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</si>
  <si>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</si>
  <si>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</si>
  <si>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</si>
  <si>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</si>
  <si>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</si>
  <si>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</si>
  <si>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</si>
  <si>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</si>
  <si>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</si>
  <si>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</si>
  <si>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</si>
  <si>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</si>
  <si>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</si>
  <si>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</si>
  <si>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</si>
  <si>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</si>
  <si>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</si>
  <si>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</si>
  <si>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</si>
  <si>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</si>
  <si>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</si>
  <si>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</si>
  <si>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</si>
  <si>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</si>
  <si>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</si>
  <si>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</si>
  <si>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</si>
  <si>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</si>
  <si>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</si>
  <si>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</si>
  <si>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</si>
  <si>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</si>
  <si>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</si>
  <si>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</si>
  <si>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</si>
  <si>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</si>
  <si>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</si>
  <si>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</si>
  <si>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</si>
  <si>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</si>
  <si>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</si>
  <si>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</si>
  <si>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</si>
  <si>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</si>
  <si>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</si>
  <si>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</si>
  <si>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</si>
  <si>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</si>
  <si>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</si>
  <si>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</si>
  <si>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</si>
  <si>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</si>
  <si>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</si>
  <si>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</si>
  <si>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</si>
  <si>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</si>
  <si>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</si>
  <si>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</si>
  <si>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</si>
  <si>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</si>
  <si>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</si>
  <si>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6.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</si>
  <si>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</si>
  <si>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</si>
  <si>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</si>
  <si>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</si>
  <si>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</si>
  <si>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</si>
  <si>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</si>
  <si>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</si>
  <si>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</si>
  <si>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</si>
  <si>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</si>
  <si>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</si>
  <si>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</si>
  <si>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</si>
  <si>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</si>
  <si>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</si>
  <si>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</si>
  <si>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</si>
  <si>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</si>
  <si>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</si>
  <si>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</si>
  <si>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</si>
  <si>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</si>
  <si>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</si>
  <si>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</si>
  <si>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</si>
  <si>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</si>
  <si>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</si>
  <si>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</si>
  <si>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Orvosi ügyelet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</si>
  <si>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</si>
  <si>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</si>
  <si>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</si>
  <si>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</si>
  <si>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</si>
  <si>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</si>
  <si>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</si>
  <si>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</si>
  <si>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</si>
  <si>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</si>
  <si>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</si>
  <si>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Beledi Szociális és Gyermekjóléti Társulás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</si>
  <si>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</si>
  <si>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</si>
  <si>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</si>
  <si>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</si>
  <si>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</si>
  <si>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</si>
  <si>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</si>
  <si>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</si>
  <si>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</si>
  <si>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</si>
  <si>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</si>
  <si>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</si>
  <si>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</si>
  <si>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</si>
  <si>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</si>
  <si>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</si>
  <si>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</si>
  <si>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</si>
  <si>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</si>
  <si>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2013. július 1.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</si>
  <si>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</si>
  <si>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</si>
  <si>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</si>
  <si>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</si>
  <si>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</si>
  <si>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</si>
  <si>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</si>
  <si>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</si>
  <si>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</si>
  <si>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</si>
  <si>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</si>
  <si>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</si>
  <si>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</si>
  <si>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</si>
  <si>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</si>
  <si>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</si>
  <si>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</si>
  <si>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</si>
  <si>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</si>
  <si>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</si>
  <si>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</si>
  <si>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</si>
  <si>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</si>
  <si>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</si>
  <si>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</si>
  <si>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</si>
  <si>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</si>
  <si>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</si>
  <si>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</si>
  <si>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</si>
  <si>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</si>
  <si>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</si>
  <si>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</si>
  <si>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</si>
  <si>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</si>
  <si>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</si>
  <si>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</si>
  <si>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</si>
  <si>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</si>
  <si>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</si>
  <si>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</si>
  <si>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</si>
  <si>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</si>
  <si>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</si>
  <si>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</si>
  <si>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</si>
  <si>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</si>
  <si>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</si>
  <si>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</si>
  <si>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</si>
  <si>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</si>
  <si>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</si>
  <si>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</si>
  <si>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</si>
  <si>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</si>
  <si>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</si>
  <si>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</si>
  <si>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</si>
  <si>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</si>
  <si>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</si>
  <si>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</si>
  <si>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</si>
  <si>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</si>
  <si>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</si>
  <si>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</si>
  <si>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</si>
  <si>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</si>
  <si>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</si>
  <si>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</si>
  <si>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</si>
  <si>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</si>
  <si>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</si>
  <si>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</si>
  <si>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</si>
  <si>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</si>
  <si>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</si>
  <si>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</si>
  <si>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</si>
  <si>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</si>
  <si>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</si>
  <si>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</si>
  <si>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</si>
  <si>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</si>
  <si>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</si>
  <si>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</si>
  <si>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</si>
  <si>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</si>
  <si>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</si>
  <si>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</si>
  <si>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</si>
  <si>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</si>
  <si>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</si>
  <si>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</si>
  <si>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</si>
  <si>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</si>
  <si>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ügyviteli, számtech. eszközök beszerzése</t>
  </si>
  <si>
    <t>Kaouvári Többcélú Kistérség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</si>
  <si>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</si>
  <si>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</si>
  <si>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</si>
  <si>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</si>
  <si>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</si>
  <si>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</si>
  <si>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</si>
  <si>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</si>
  <si>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adatok eFt-ban</t>
  </si>
  <si>
    <t>4.3</t>
  </si>
  <si>
    <t>Önkormányzatok felhalmozási központi támogatása</t>
  </si>
  <si>
    <t>ebből: kisértékű eszköz beszerzése</t>
  </si>
  <si>
    <t>e-útdíj - bevétel kiesés ellentételezése (központosított működési)</t>
  </si>
  <si>
    <t>Ágazati pótlék (központi működési)</t>
  </si>
  <si>
    <t>Előző évtől áthúzódó bérkompenzáció (központosított működési)</t>
  </si>
  <si>
    <t>Fejlesztési támogatás (sportcsarnok - felhalmozási)</t>
  </si>
  <si>
    <t>Közművelődési érdekeltségnövelő támogatás (felalmozási)</t>
  </si>
  <si>
    <t>8. számú melléklet</t>
  </si>
  <si>
    <t>9. számú melléklet</t>
  </si>
  <si>
    <t>Telj.%</t>
  </si>
  <si>
    <t>3.5</t>
  </si>
  <si>
    <t>3.5.1</t>
  </si>
  <si>
    <t>3.5.2</t>
  </si>
  <si>
    <t>3.5.3</t>
  </si>
  <si>
    <t>Helyi önkormányzatok kiegészítő támogatása</t>
  </si>
  <si>
    <t>Kapuvári Vízitársulat</t>
  </si>
  <si>
    <t>ebből: Vicai Kat.Egyház</t>
  </si>
  <si>
    <t>Sportegyesület</t>
  </si>
  <si>
    <t>Tűzoltóegyesület</t>
  </si>
  <si>
    <t>Vicai Ifjúsági Egyesület</t>
  </si>
  <si>
    <t>Magyar Máltai Szeretetszolgálat</t>
  </si>
  <si>
    <t>Delta Testépítő Klub</t>
  </si>
  <si>
    <t>Gyermeknap</t>
  </si>
  <si>
    <t>Tégy a Tehetségért Alapítvány</t>
  </si>
  <si>
    <t>Horgász Egyesület</t>
  </si>
  <si>
    <t>Beledi Katolikus Egyesület</t>
  </si>
  <si>
    <t>Beledi Ifjúsági Egyesület</t>
  </si>
  <si>
    <t>Beledi Evangélikus Egyház</t>
  </si>
  <si>
    <t>Beledi Baráti Kör</t>
  </si>
  <si>
    <t>Beledi Asztalitenisz Klub</t>
  </si>
  <si>
    <t>Beled Jövőjéért Egyesület</t>
  </si>
  <si>
    <t>ESZK nyári tábor</t>
  </si>
  <si>
    <t>Ezüstfenyő Nyugdíjas Klub</t>
  </si>
  <si>
    <t>Beled SE kézilabda</t>
  </si>
  <si>
    <t>Kaució visszafizetése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</si>
  <si>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</si>
  <si>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</si>
  <si>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</si>
  <si>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</si>
  <si>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</si>
  <si>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Nem veszélyes hulladék szállítása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</si>
  <si>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</si>
  <si>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</si>
  <si>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</si>
  <si>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</si>
  <si>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</si>
  <si>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</si>
  <si>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</si>
  <si>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</si>
  <si>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</si>
  <si>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</si>
  <si>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</si>
  <si>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</si>
  <si>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</si>
  <si>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</si>
  <si>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</si>
  <si>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</si>
  <si>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</si>
  <si>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37 §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</si>
  <si>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</si>
  <si>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</si>
  <si>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</si>
  <si>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</si>
  <si>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</si>
  <si>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</si>
  <si>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</si>
  <si>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</si>
  <si>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</si>
  <si>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</si>
  <si>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</si>
  <si>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</si>
  <si>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</si>
  <si>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13. számú melléklet</t>
  </si>
  <si>
    <t>Téli közfoglalkoztatás</t>
  </si>
  <si>
    <t>Zöldterület kezelése</t>
  </si>
  <si>
    <t>1. számú melléklet</t>
  </si>
  <si>
    <t>11. számú melléklet</t>
  </si>
  <si>
    <t>teljesítés</t>
  </si>
  <si>
    <t>telj %</t>
  </si>
  <si>
    <t>Önkormányzat adósságot keletkeztető ügyletekből és kezességvállalásokból fennálló kötelezettségei</t>
  </si>
  <si>
    <t>MEGNEVEZÉS</t>
  </si>
  <si>
    <t>Évek</t>
  </si>
  <si>
    <t>10.</t>
  </si>
  <si>
    <t>ÖSSZES KÖTELEZETTSÉG</t>
  </si>
  <si>
    <t>14. számú melléklet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</si>
  <si>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</si>
  <si>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</si>
  <si>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</si>
  <si>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</si>
  <si>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</si>
  <si>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</si>
  <si>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</si>
  <si>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</si>
  <si>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</si>
  <si>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</si>
  <si>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</si>
  <si>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</si>
  <si>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</si>
  <si>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</si>
  <si>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Működési célú támogatások államháztartáson belülrő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</si>
  <si>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</si>
  <si>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</si>
  <si>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</si>
  <si>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</si>
  <si>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</si>
  <si>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</si>
  <si>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</si>
  <si>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</si>
  <si>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</si>
  <si>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</si>
  <si>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</si>
  <si>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</si>
  <si>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</si>
  <si>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</si>
  <si>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</si>
  <si>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</si>
  <si>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 xml:space="preserve"> mód. III.</t>
  </si>
  <si>
    <t>2014. december 31.</t>
  </si>
  <si>
    <t>évközbeni változás</t>
  </si>
  <si>
    <t>Sportcsarnok fűtéskorszerűsítés</t>
  </si>
  <si>
    <t>laptop beszerzése élelmezésvezetőnek</t>
  </si>
  <si>
    <t>hűtőszekrény, mikorhullámú sütő óvodába</t>
  </si>
  <si>
    <t>laptop beszerzése óvodába</t>
  </si>
  <si>
    <t>Települési támogatás - gyógszertámogatás</t>
  </si>
  <si>
    <t>Települési támogatás - temetési támogatás</t>
  </si>
  <si>
    <t>Rendkívüli települési támogatás</t>
  </si>
  <si>
    <t>Köztemetés</t>
  </si>
  <si>
    <t>Fogorvosi ügyelet Sopron</t>
  </si>
  <si>
    <t>MAZSIHISZ</t>
  </si>
  <si>
    <t>Beled Sportegyesület</t>
  </si>
  <si>
    <t>ÁH belüli megelőlegezések visszafizetései</t>
  </si>
  <si>
    <t>6.3</t>
  </si>
  <si>
    <t>I.6. előző évről áthúzódó bérkompenzáció</t>
  </si>
  <si>
    <t>III.6 Szociális ágazati pótlék</t>
  </si>
  <si>
    <t>Könyvtári célú érdekeltségnövelő támogatás</t>
  </si>
  <si>
    <t>BURSA</t>
  </si>
  <si>
    <t>Vöröskereszt</t>
  </si>
  <si>
    <t>Egyéb tárgyi eszközök értékesítése</t>
  </si>
  <si>
    <t>Beled Ált.Isk.Diákönk.</t>
  </si>
  <si>
    <t>Egyházak támogatása</t>
  </si>
  <si>
    <t>Beregrákosi Református Egyházközség</t>
  </si>
  <si>
    <t>Egyházmegyei Levéltár Győr</t>
  </si>
  <si>
    <t>egyéb</t>
  </si>
  <si>
    <t>Lövészklub (MTTSZ)</t>
  </si>
  <si>
    <t>telj. %</t>
  </si>
  <si>
    <t>2015. június 30.</t>
  </si>
  <si>
    <t>2015. június 30. teljesítés</t>
  </si>
  <si>
    <t>Városközpont felújításának útépítési engedélye</t>
  </si>
  <si>
    <t>Hársfa utca burkolat megerősítés tervezése</t>
  </si>
  <si>
    <t>Rendezési terv módosítása</t>
  </si>
  <si>
    <t>Nyári gyermekétkeztetés (3.m.I.3.)</t>
  </si>
  <si>
    <t>Könyvtári érdekeltségnövelő támogatás (IV. 1.i.)</t>
  </si>
  <si>
    <t>mód. IV.</t>
  </si>
  <si>
    <t>Gyermekvédelmi Erzsébet utalvány</t>
  </si>
  <si>
    <t>mód. III., IV.</t>
  </si>
  <si>
    <t>Szociális ágazati pótlék kiegészítő támogatás</t>
  </si>
  <si>
    <t>mód. V,</t>
  </si>
  <si>
    <t>Államháztartáson belüli megelőlegezés</t>
  </si>
  <si>
    <t>Mód. III., IV., V.</t>
  </si>
  <si>
    <t>2015. december 31.</t>
  </si>
  <si>
    <t>Karácsonyi díszkivilágítás beszerzése (hópihe tartóval)</t>
  </si>
  <si>
    <t>mód. V.</t>
  </si>
  <si>
    <t>Nagycenk Nagyközség Önkormányzata</t>
  </si>
  <si>
    <t>Régi Beled Baráti Kör</t>
  </si>
  <si>
    <t>Fidesz-Magyar Polgári Szövetség</t>
  </si>
  <si>
    <t>Egészséges Óvodás Gyermekekért Alapítvány</t>
  </si>
  <si>
    <t>Rendkívüli önkormányzati támogatás</t>
  </si>
  <si>
    <t>Szociális tüzelőanyag támogatás</t>
  </si>
  <si>
    <t>Államháztartáson belüli megelőlegezések</t>
  </si>
  <si>
    <t xml:space="preserve">Forintban </t>
  </si>
  <si>
    <t>Irányítószervi (önkormányzati) támogatás</t>
  </si>
  <si>
    <t>Önkormányzat 2016. évi kiadási előirányzatai</t>
  </si>
  <si>
    <t>Önkormányzat 2016. évi bevételi előirányzatai</t>
  </si>
  <si>
    <t>Ft-ban</t>
  </si>
  <si>
    <t>Önkormányzat összevont 2016. évi bevételi előirányzatai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</si>
  <si>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</si>
  <si>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</si>
  <si>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</si>
  <si>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</si>
  <si>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</si>
  <si>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</si>
  <si>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Önkormányzat költségvetési szerveinek 2016. évi létszámkerete</t>
  </si>
  <si>
    <t>2016. január 1.</t>
  </si>
  <si>
    <t>Telefon beszerzése polgármesternek</t>
  </si>
  <si>
    <t>Ravatalozó előtető felújítása</t>
  </si>
  <si>
    <t>Ifjúság utca felújítása</t>
  </si>
  <si>
    <t>Járda felújítása</t>
  </si>
  <si>
    <t>Ft</t>
  </si>
  <si>
    <t>75 db szék ebédlőbe</t>
  </si>
  <si>
    <t>Hűtőszekrény, kávéfőző óvodába</t>
  </si>
  <si>
    <t>2 db monjitor vásárlása könyvtárba</t>
  </si>
  <si>
    <t xml:space="preserve">2016. év </t>
  </si>
  <si>
    <t>2016. év</t>
  </si>
  <si>
    <t>Szociális tűzifa (2015. évről áthúzódó)</t>
  </si>
  <si>
    <t>Szünidei gyermekétkeztetés</t>
  </si>
  <si>
    <t>2016. évi előirányzat</t>
  </si>
  <si>
    <t>Forintban</t>
  </si>
  <si>
    <t>Előirányzat-felhasználási terv
2016. évre</t>
  </si>
  <si>
    <t>3 a.) Család- és gyermekjóléti szolgálat</t>
  </si>
  <si>
    <t>3 c.) Szociális étkeztetés</t>
  </si>
  <si>
    <t>3 d.) Házi segítégnyújtás</t>
  </si>
  <si>
    <t>3 f.) Időskorúak nappali intézményi ellátása</t>
  </si>
  <si>
    <t>3 jb.) Gyermekek napközbeni ellátása - családi napközi</t>
  </si>
  <si>
    <t xml:space="preserve">III. 5. c. A rászoruló gyermekek intézményen kívüli szünidei étkeztetésének támogatása </t>
  </si>
  <si>
    <t>IX. 2. a. Pszichiátriai betegek részére nyújtott közösségi alapellátás - alaptámogatás</t>
  </si>
  <si>
    <t>IX. 2. b. Pszichiátriai betegek részére nyújtott közösségi alapellátás - teljesíménytámogatás</t>
  </si>
  <si>
    <t>IX. 2. Pszichiátriai betegek részére nyújtott közösségi alapellátás</t>
  </si>
  <si>
    <t>A 2016. évi általános működés és ágazati feladatok támogatásának alakulása jogcímenként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</si>
  <si>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</si>
  <si>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</si>
  <si>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</si>
  <si>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</si>
  <si>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</si>
  <si>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2016. március 23.</t>
  </si>
  <si>
    <t>380/2015. (XII. 8.) Kormányrendelet szerinti kiegészítő ágazati pótlék</t>
  </si>
  <si>
    <t>Forgatási  célú belföldi értékpapírok vásárlása</t>
  </si>
  <si>
    <t>Forgatási célú értékpapírok vásárlása</t>
  </si>
  <si>
    <t>2016. június 30.</t>
  </si>
  <si>
    <t>Felhalmozási célú egyéb átvett pénzeszközök államháztartáson kívűlről</t>
  </si>
  <si>
    <t>2. Felhalmozási célú egyéb átvett pénzeszközök államháztartáson kívűlről</t>
  </si>
  <si>
    <t>Betonáru földmérés</t>
  </si>
  <si>
    <t>Holokauszt emlékmű felajánlásból</t>
  </si>
  <si>
    <t>Udvari játék telepítése játszótérre</t>
  </si>
  <si>
    <t>Gázkazán beszerzése Rákóczi u. 158. szám alatti lakásba</t>
  </si>
  <si>
    <t>Rugós játék beszerzése játszótérre képviselői felajánlásból</t>
  </si>
  <si>
    <t>Ivókút vásárlása játszótérre</t>
  </si>
  <si>
    <t>fénymásoló/nyomtató beszerzése</t>
  </si>
  <si>
    <t>Bérkompenzáció (Működési célú költségvetési támogatások és kiegészítő támogatások)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</si>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</sst>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22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i/>
      <sz val="12"/>
      <name val="Times New Roman CE"/>
      <family val="0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7" fillId="20" borderId="1" applyNumberFormat="0" applyAlignment="0" applyProtection="0"/>
    <xf numFmtId="0" fontId="108" fillId="0" borderId="0" applyNumberFormat="0" applyFill="0" applyBorder="0" applyAlignment="0" applyProtection="0"/>
    <xf numFmtId="0" fontId="109" fillId="0" borderId="2" applyNumberFormat="0" applyFill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1" fillId="0" borderId="0" applyNumberFormat="0" applyFill="0" applyBorder="0" applyAlignment="0" applyProtection="0"/>
    <xf numFmtId="0" fontId="11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0" fillId="22" borderId="7" applyNumberFormat="0" applyFont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15" fillId="29" borderId="0" applyNumberFormat="0" applyBorder="0" applyAlignment="0" applyProtection="0"/>
    <xf numFmtId="0" fontId="116" fillId="30" borderId="8" applyNumberFormat="0" applyAlignment="0" applyProtection="0"/>
    <xf numFmtId="0" fontId="7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31" borderId="0" applyNumberFormat="0" applyBorder="0" applyAlignment="0" applyProtection="0"/>
    <xf numFmtId="0" fontId="120" fillId="32" borderId="0" applyNumberFormat="0" applyBorder="0" applyAlignment="0" applyProtection="0"/>
    <xf numFmtId="0" fontId="121" fillId="30" borderId="1" applyNumberFormat="0" applyAlignment="0" applyProtection="0"/>
    <xf numFmtId="9" fontId="0" fillId="0" borderId="0" applyFont="0" applyFill="0" applyBorder="0" applyAlignment="0" applyProtection="0"/>
  </cellStyleXfs>
  <cellXfs count="13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34" fillId="0" borderId="0" xfId="59" applyFont="1" applyAlignment="1">
      <alignment horizontal="center" vertical="center"/>
      <protection/>
    </xf>
    <xf numFmtId="0" fontId="27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37" fillId="0" borderId="15" xfId="59" applyFont="1" applyBorder="1" applyAlignment="1">
      <alignment horizontal="center" vertical="center" wrapText="1"/>
      <protection/>
    </xf>
    <xf numFmtId="0" fontId="37" fillId="0" borderId="16" xfId="59" applyFont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left" vertical="center" wrapText="1"/>
      <protection/>
    </xf>
    <xf numFmtId="0" fontId="6" fillId="0" borderId="14" xfId="58" applyFont="1" applyBorder="1" applyAlignment="1">
      <alignment vertical="center" wrapText="1"/>
      <protection/>
    </xf>
    <xf numFmtId="0" fontId="13" fillId="0" borderId="0" xfId="58" applyFont="1" applyAlignment="1">
      <alignment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2" fillId="0" borderId="20" xfId="58" applyFont="1" applyFill="1" applyBorder="1" applyAlignment="1">
      <alignment vertical="center" wrapText="1"/>
      <protection/>
    </xf>
    <xf numFmtId="0" fontId="0" fillId="0" borderId="21" xfId="58" applyFont="1" applyBorder="1" applyAlignment="1">
      <alignment horizontal="center" vertical="center"/>
      <protection/>
    </xf>
    <xf numFmtId="0" fontId="20" fillId="0" borderId="0" xfId="59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0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2" xfId="58" applyFont="1" applyBorder="1" applyAlignment="1">
      <alignment vertical="center" wrapText="1"/>
      <protection/>
    </xf>
    <xf numFmtId="0" fontId="12" fillId="0" borderId="22" xfId="58" applyFont="1" applyBorder="1" applyAlignment="1">
      <alignment wrapText="1"/>
      <protection/>
    </xf>
    <xf numFmtId="3" fontId="43" fillId="0" borderId="23" xfId="58" applyNumberFormat="1" applyFont="1" applyFill="1" applyBorder="1" applyAlignment="1">
      <alignment horizontal="right"/>
      <protection/>
    </xf>
    <xf numFmtId="0" fontId="43" fillId="0" borderId="23" xfId="58" applyFont="1" applyBorder="1" applyAlignment="1">
      <alignment horizontal="right"/>
      <protection/>
    </xf>
    <xf numFmtId="3" fontId="43" fillId="0" borderId="24" xfId="58" applyNumberFormat="1" applyFont="1" applyBorder="1" applyAlignment="1">
      <alignment horizontal="right"/>
      <protection/>
    </xf>
    <xf numFmtId="3" fontId="43" fillId="0" borderId="23" xfId="58" applyNumberFormat="1" applyFont="1" applyBorder="1" applyAlignment="1">
      <alignment horizontal="right"/>
      <protection/>
    </xf>
    <xf numFmtId="3" fontId="18" fillId="0" borderId="15" xfId="40" applyNumberFormat="1" applyFont="1" applyBorder="1" applyAlignment="1">
      <alignment horizontal="right" vertical="center"/>
    </xf>
    <xf numFmtId="3" fontId="18" fillId="0" borderId="15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5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3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3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23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3" fillId="0" borderId="24" xfId="58" applyNumberFormat="1" applyFont="1" applyFill="1" applyBorder="1" applyAlignment="1">
      <alignment horizontal="right"/>
      <protection/>
    </xf>
    <xf numFmtId="3" fontId="43" fillId="0" borderId="26" xfId="58" applyNumberFormat="1" applyFont="1" applyBorder="1" applyAlignment="1">
      <alignment horizontal="right"/>
      <protection/>
    </xf>
    <xf numFmtId="0" fontId="15" fillId="0" borderId="27" xfId="58" applyFont="1" applyBorder="1" applyAlignment="1">
      <alignment wrapText="1"/>
      <protection/>
    </xf>
    <xf numFmtId="0" fontId="14" fillId="0" borderId="23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/>
    </xf>
    <xf numFmtId="0" fontId="33" fillId="0" borderId="23" xfId="58" applyFont="1" applyFill="1" applyBorder="1" applyAlignment="1">
      <alignment vertical="center"/>
      <protection/>
    </xf>
    <xf numFmtId="0" fontId="33" fillId="0" borderId="28" xfId="58" applyFont="1" applyFill="1" applyBorder="1" applyAlignment="1">
      <alignment vertical="center"/>
      <protection/>
    </xf>
    <xf numFmtId="0" fontId="14" fillId="0" borderId="1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0" fillId="0" borderId="0" xfId="0" applyFont="1" applyAlignment="1">
      <alignment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7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3" xfId="0" applyNumberFormat="1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3" fontId="7" fillId="0" borderId="26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9" fillId="0" borderId="36" xfId="59" applyFont="1" applyBorder="1" applyAlignment="1">
      <alignment horizontal="left" vertical="center" wrapText="1"/>
      <protection/>
    </xf>
    <xf numFmtId="0" fontId="27" fillId="0" borderId="37" xfId="0" applyFont="1" applyBorder="1" applyAlignment="1">
      <alignment vertical="center" wrapText="1"/>
    </xf>
    <xf numFmtId="2" fontId="38" fillId="0" borderId="23" xfId="59" applyNumberFormat="1" applyFont="1" applyFill="1" applyBorder="1" applyAlignment="1">
      <alignment horizontal="center" vertical="center" wrapText="1"/>
      <protection/>
    </xf>
    <xf numFmtId="2" fontId="38" fillId="0" borderId="20" xfId="59" applyNumberFormat="1" applyFont="1" applyFill="1" applyBorder="1" applyAlignment="1">
      <alignment horizontal="center" vertical="center" wrapText="1"/>
      <protection/>
    </xf>
    <xf numFmtId="2" fontId="38" fillId="0" borderId="15" xfId="59" applyNumberFormat="1" applyFont="1" applyFill="1" applyBorder="1" applyAlignment="1">
      <alignment horizontal="center" vertical="center" wrapText="1"/>
      <protection/>
    </xf>
    <xf numFmtId="167" fontId="31" fillId="0" borderId="0" xfId="0" applyNumberFormat="1" applyFont="1" applyFill="1" applyAlignment="1" applyProtection="1">
      <alignment horizontal="left" vertical="center" wrapText="1"/>
      <protection/>
    </xf>
    <xf numFmtId="167" fontId="31" fillId="0" borderId="0" xfId="0" applyNumberFormat="1" applyFont="1" applyFill="1" applyAlignment="1" applyProtection="1">
      <alignment vertical="center" wrapText="1"/>
      <protection/>
    </xf>
    <xf numFmtId="167" fontId="51" fillId="0" borderId="0" xfId="0" applyNumberFormat="1" applyFont="1" applyFill="1" applyAlignment="1" applyProtection="1">
      <alignment vertical="center" wrapText="1"/>
      <protection locked="0"/>
    </xf>
    <xf numFmtId="0" fontId="52" fillId="0" borderId="0" xfId="0" applyFont="1" applyAlignment="1" applyProtection="1">
      <alignment horizontal="right" vertical="top"/>
      <protection locked="0"/>
    </xf>
    <xf numFmtId="167" fontId="31" fillId="0" borderId="0" xfId="0" applyNumberFormat="1" applyFont="1" applyFill="1" applyAlignment="1">
      <alignment vertical="center" wrapText="1"/>
    </xf>
    <xf numFmtId="0" fontId="53" fillId="0" borderId="0" xfId="0" applyFont="1" applyAlignment="1" applyProtection="1">
      <alignment horizontal="right" vertical="top"/>
      <protection locked="0"/>
    </xf>
    <xf numFmtId="167" fontId="54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Fill="1" applyAlignment="1">
      <alignment vertical="center"/>
    </xf>
    <xf numFmtId="0" fontId="51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>
      <alignment vertical="center"/>
    </xf>
    <xf numFmtId="0" fontId="51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39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51" fillId="0" borderId="33" xfId="0" applyFont="1" applyFill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left" vertical="center" wrapText="1" inden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Fill="1" applyAlignment="1">
      <alignment vertical="center" wrapText="1"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23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47" fillId="0" borderId="23" xfId="6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0" fontId="47" fillId="0" borderId="20" xfId="61" applyFont="1" applyFill="1" applyBorder="1" applyAlignment="1" applyProtection="1">
      <alignment horizontal="left" vertical="center" wrapText="1" inden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18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61" applyFont="1" applyFill="1" applyBorder="1" applyAlignment="1" applyProtection="1">
      <alignment horizontal="left" vertical="center" wrapText="1" indent="1"/>
      <protection/>
    </xf>
    <xf numFmtId="167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36" xfId="0" applyFont="1" applyFill="1" applyBorder="1" applyAlignment="1" applyProtection="1">
      <alignment horizontal="center" vertical="center" wrapText="1"/>
      <protection/>
    </xf>
    <xf numFmtId="49" fontId="47" fillId="0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42" xfId="61" applyFont="1" applyFill="1" applyBorder="1" applyAlignment="1" applyProtection="1">
      <alignment horizontal="left" vertical="center" wrapText="1" indent="1"/>
      <protection/>
    </xf>
    <xf numFmtId="167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55" fillId="0" borderId="38" xfId="61" applyFont="1" applyFill="1" applyBorder="1" applyAlignment="1" applyProtection="1">
      <alignment horizontal="left" vertical="center" wrapText="1" indent="1"/>
      <protection/>
    </xf>
    <xf numFmtId="49" fontId="47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0" fillId="0" borderId="22" xfId="0" applyFont="1" applyFill="1" applyBorder="1" applyAlignment="1" applyProtection="1">
      <alignment vertical="center" wrapText="1"/>
      <protection/>
    </xf>
    <xf numFmtId="49" fontId="47" fillId="0" borderId="15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15" xfId="61" applyFont="1" applyFill="1" applyBorder="1" applyAlignment="1" applyProtection="1">
      <alignment horizontal="left" vertical="center" wrapText="1" indent="1"/>
      <protection/>
    </xf>
    <xf numFmtId="167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3" xfId="0" applyFont="1" applyBorder="1" applyAlignment="1" applyProtection="1">
      <alignment horizontal="center" vertical="center" wrapText="1"/>
      <protection/>
    </xf>
    <xf numFmtId="0" fontId="57" fillId="0" borderId="45" xfId="0" applyFont="1" applyBorder="1" applyAlignment="1" applyProtection="1">
      <alignment horizontal="center" wrapText="1"/>
      <protection/>
    </xf>
    <xf numFmtId="0" fontId="55" fillId="0" borderId="45" xfId="61" applyFont="1" applyFill="1" applyBorder="1" applyAlignment="1" applyProtection="1">
      <alignment horizontal="left" vertical="center" wrapText="1" indent="1"/>
      <protection/>
    </xf>
    <xf numFmtId="0" fontId="58" fillId="0" borderId="45" xfId="0" applyFont="1" applyBorder="1" applyAlignment="1" applyProtection="1">
      <alignment horizontal="center" wrapText="1"/>
      <protection/>
    </xf>
    <xf numFmtId="0" fontId="59" fillId="0" borderId="45" xfId="0" applyFont="1" applyBorder="1" applyAlignment="1" applyProtection="1">
      <alignment horizontal="left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left" vertical="center" wrapText="1" indent="1"/>
      <protection/>
    </xf>
    <xf numFmtId="167" fontId="5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Fill="1" applyAlignment="1">
      <alignment vertical="center" wrapText="1"/>
    </xf>
    <xf numFmtId="0" fontId="47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Alignment="1" applyProtection="1">
      <alignment horizontal="right" vertical="center" wrapText="1" inden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35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25" xfId="0" applyFont="1" applyFill="1" applyBorder="1" applyAlignment="1" applyProtection="1">
      <alignment horizontal="center" vertical="center" wrapText="1"/>
      <protection/>
    </xf>
    <xf numFmtId="49" fontId="47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49" fontId="47" fillId="0" borderId="23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61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6" xfId="0" applyNumberFormat="1" applyFont="1" applyFill="1" applyBorder="1" applyAlignment="1" applyProtection="1">
      <alignment horizontal="center" vertical="center" wrapText="1"/>
      <protection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1" fillId="0" borderId="0" xfId="61" applyFill="1">
      <alignment/>
      <protection/>
    </xf>
    <xf numFmtId="3" fontId="47" fillId="0" borderId="0" xfId="61" applyNumberFormat="1" applyFont="1" applyFill="1" applyBorder="1">
      <alignment/>
      <protection/>
    </xf>
    <xf numFmtId="167" fontId="47" fillId="0" borderId="0" xfId="61" applyNumberFormat="1" applyFont="1" applyFill="1" applyBorder="1">
      <alignment/>
      <protection/>
    </xf>
    <xf numFmtId="0" fontId="55" fillId="0" borderId="13" xfId="61" applyFont="1" applyFill="1" applyBorder="1" applyAlignment="1" applyProtection="1">
      <alignment horizontal="left" vertical="center" wrapText="1" indent="1"/>
      <protection/>
    </xf>
    <xf numFmtId="0" fontId="63" fillId="0" borderId="0" xfId="61" applyFont="1" applyFill="1">
      <alignment/>
      <protection/>
    </xf>
    <xf numFmtId="49" fontId="47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0" xfId="61" applyFont="1" applyFill="1" applyBorder="1" applyAlignment="1" applyProtection="1">
      <alignment horizontal="left" indent="5"/>
      <protection/>
    </xf>
    <xf numFmtId="3" fontId="47" fillId="0" borderId="0" xfId="61" applyNumberFormat="1" applyFont="1" applyFill="1" applyBorder="1" applyAlignment="1" applyProtection="1">
      <alignment horizontal="right" vertical="center" wrapText="1"/>
      <protection/>
    </xf>
    <xf numFmtId="0" fontId="48" fillId="0" borderId="0" xfId="61" applyFont="1" applyFill="1" applyAlignment="1">
      <alignment horizontal="center" wrapText="1"/>
      <protection/>
    </xf>
    <xf numFmtId="3" fontId="47" fillId="0" borderId="0" xfId="61" applyNumberFormat="1" applyFont="1" applyFill="1">
      <alignment/>
      <protection/>
    </xf>
    <xf numFmtId="0" fontId="47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2" fillId="0" borderId="0" xfId="0" applyFont="1" applyBorder="1" applyAlignment="1">
      <alignment vertical="center"/>
    </xf>
    <xf numFmtId="49" fontId="7" fillId="0" borderId="47" xfId="0" applyNumberFormat="1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5" fillId="0" borderId="27" xfId="58" applyFont="1" applyFill="1" applyBorder="1" applyAlignment="1">
      <alignment wrapText="1"/>
      <protection/>
    </xf>
    <xf numFmtId="0" fontId="55" fillId="0" borderId="17" xfId="61" applyFont="1" applyFill="1" applyBorder="1" applyAlignment="1" applyProtection="1">
      <alignment horizontal="left" vertical="center" wrapText="1" indent="1"/>
      <protection/>
    </xf>
    <xf numFmtId="49" fontId="55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55" fillId="0" borderId="22" xfId="61" applyNumberFormat="1" applyFont="1" applyFill="1" applyBorder="1" applyAlignment="1" applyProtection="1">
      <alignment horizontal="left" vertical="center" wrapText="1" indent="1"/>
      <protection/>
    </xf>
    <xf numFmtId="167" fontId="31" fillId="0" borderId="0" xfId="0" applyNumberFormat="1" applyFont="1" applyFill="1" applyBorder="1" applyAlignment="1" applyProtection="1">
      <alignment horizontal="left" vertical="center" wrapText="1"/>
      <protection/>
    </xf>
    <xf numFmtId="2" fontId="36" fillId="0" borderId="42" xfId="59" applyNumberFormat="1" applyFont="1" applyBorder="1" applyAlignment="1">
      <alignment horizontal="center" vertical="center"/>
      <protection/>
    </xf>
    <xf numFmtId="167" fontId="28" fillId="0" borderId="14" xfId="61" applyNumberFormat="1" applyFont="1" applyFill="1" applyBorder="1" applyAlignment="1" applyProtection="1">
      <alignment horizontal="right" vertical="center" wrapText="1"/>
      <protection/>
    </xf>
    <xf numFmtId="167" fontId="44" fillId="0" borderId="10" xfId="61" applyNumberFormat="1" applyFont="1" applyFill="1" applyBorder="1" applyAlignment="1" applyProtection="1">
      <alignment horizontal="left" vertical="center"/>
      <protection/>
    </xf>
    <xf numFmtId="3" fontId="28" fillId="0" borderId="18" xfId="61" applyNumberFormat="1" applyFont="1" applyFill="1" applyBorder="1" applyAlignment="1" applyProtection="1">
      <alignment horizontal="right" vertical="center" wrapText="1"/>
      <protection/>
    </xf>
    <xf numFmtId="3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28" fillId="0" borderId="15" xfId="61" applyNumberFormat="1" applyFont="1" applyFill="1" applyBorder="1" applyAlignment="1" applyProtection="1">
      <alignment horizontal="right" vertical="center" wrapText="1"/>
      <protection/>
    </xf>
    <xf numFmtId="49" fontId="45" fillId="0" borderId="12" xfId="61" applyNumberFormat="1" applyFont="1" applyFill="1" applyBorder="1" applyAlignment="1" applyProtection="1">
      <alignment horizontal="left" vertical="center" wrapText="1"/>
      <protection/>
    </xf>
    <xf numFmtId="49" fontId="30" fillId="0" borderId="12" xfId="61" applyNumberFormat="1" applyFont="1" applyFill="1" applyBorder="1" applyAlignment="1">
      <alignment horizontal="left"/>
      <protection/>
    </xf>
    <xf numFmtId="49" fontId="30" fillId="0" borderId="12" xfId="61" applyNumberFormat="1" applyFont="1" applyFill="1" applyBorder="1" applyAlignment="1" applyProtection="1">
      <alignment horizontal="left" vertical="center" wrapText="1"/>
      <protection/>
    </xf>
    <xf numFmtId="0" fontId="28" fillId="0" borderId="17" xfId="61" applyFont="1" applyFill="1" applyBorder="1" applyAlignment="1">
      <alignment horizontal="center"/>
      <protection/>
    </xf>
    <xf numFmtId="3" fontId="28" fillId="0" borderId="18" xfId="61" applyNumberFormat="1" applyFont="1" applyFill="1" applyBorder="1">
      <alignment/>
      <protection/>
    </xf>
    <xf numFmtId="3" fontId="30" fillId="0" borderId="23" xfId="61" applyNumberFormat="1" applyFont="1" applyFill="1" applyBorder="1">
      <alignment/>
      <protection/>
    </xf>
    <xf numFmtId="167" fontId="30" fillId="0" borderId="23" xfId="61" applyNumberFormat="1" applyFont="1" applyFill="1" applyBorder="1">
      <alignment/>
      <protection/>
    </xf>
    <xf numFmtId="49" fontId="45" fillId="0" borderId="22" xfId="61" applyNumberFormat="1" applyFont="1" applyFill="1" applyBorder="1" applyAlignment="1">
      <alignment horizontal="left"/>
      <protection/>
    </xf>
    <xf numFmtId="3" fontId="30" fillId="0" borderId="15" xfId="61" applyNumberFormat="1" applyFont="1" applyFill="1" applyBorder="1">
      <alignment/>
      <protection/>
    </xf>
    <xf numFmtId="167" fontId="28" fillId="0" borderId="42" xfId="61" applyNumberFormat="1" applyFont="1" applyFill="1" applyBorder="1" applyAlignment="1" applyProtection="1">
      <alignment horizontal="right" vertical="center" wrapText="1"/>
      <protection/>
    </xf>
    <xf numFmtId="167" fontId="28" fillId="0" borderId="18" xfId="61" applyNumberFormat="1" applyFont="1" applyFill="1" applyBorder="1" applyAlignment="1" applyProtection="1">
      <alignment horizontal="right" vertical="center" wrapText="1"/>
      <protection/>
    </xf>
    <xf numFmtId="167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18" fillId="0" borderId="16" xfId="58" applyNumberFormat="1" applyFont="1" applyBorder="1" applyAlignment="1">
      <alignment horizontal="right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38" xfId="0" applyNumberFormat="1" applyFont="1" applyFill="1" applyBorder="1" applyAlignment="1" applyProtection="1">
      <alignment horizontal="center" vertical="center" wrapText="1"/>
      <protection/>
    </xf>
    <xf numFmtId="167" fontId="51" fillId="0" borderId="49" xfId="0" applyNumberFormat="1" applyFont="1" applyFill="1" applyBorder="1" applyAlignment="1" applyProtection="1">
      <alignment horizontal="center" vertical="center" wrapText="1"/>
      <protection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30" xfId="0" applyNumberFormat="1" applyFont="1" applyFill="1" applyBorder="1" applyAlignment="1" applyProtection="1">
      <alignment horizontal="center" vertical="center" wrapText="1"/>
      <protection/>
    </xf>
    <xf numFmtId="167" fontId="51" fillId="0" borderId="52" xfId="0" applyNumberFormat="1" applyFont="1" applyFill="1" applyBorder="1" applyAlignment="1" applyProtection="1">
      <alignment horizontal="center" vertical="center" wrapText="1"/>
      <protection/>
    </xf>
    <xf numFmtId="167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34" fillId="0" borderId="0" xfId="59" applyNumberFormat="1" applyFont="1" applyAlignment="1">
      <alignment horizontal="center" vertical="center"/>
      <protection/>
    </xf>
    <xf numFmtId="1" fontId="38" fillId="0" borderId="41" xfId="59" applyNumberFormat="1" applyFont="1" applyFill="1" applyBorder="1" applyAlignment="1">
      <alignment horizontal="center" vertical="center" wrapText="1"/>
      <protection/>
    </xf>
    <xf numFmtId="1" fontId="38" fillId="0" borderId="24" xfId="59" applyNumberFormat="1" applyFont="1" applyFill="1" applyBorder="1" applyAlignment="1">
      <alignment horizontal="center" vertical="center" wrapText="1"/>
      <protection/>
    </xf>
    <xf numFmtId="1" fontId="38" fillId="0" borderId="16" xfId="59" applyNumberFormat="1" applyFont="1" applyFill="1" applyBorder="1" applyAlignment="1">
      <alignment horizontal="center" vertical="center" wrapText="1"/>
      <protection/>
    </xf>
    <xf numFmtId="1" fontId="36" fillId="0" borderId="43" xfId="59" applyNumberFormat="1" applyFont="1" applyBorder="1" applyAlignment="1">
      <alignment horizontal="center" vertical="center"/>
      <protection/>
    </xf>
    <xf numFmtId="1" fontId="36" fillId="0" borderId="39" xfId="59" applyNumberFormat="1" applyFont="1" applyBorder="1" applyAlignment="1">
      <alignment horizontal="center" vertical="center" wrapText="1"/>
      <protection/>
    </xf>
    <xf numFmtId="0" fontId="48" fillId="0" borderId="0" xfId="61" applyFont="1" applyFill="1" applyBorder="1" applyAlignment="1">
      <alignment horizont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48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5" fillId="0" borderId="54" xfId="0" applyFont="1" applyFill="1" applyBorder="1" applyAlignment="1" applyProtection="1">
      <alignment horizontal="center" vertical="center" wrapText="1"/>
      <protection/>
    </xf>
    <xf numFmtId="167" fontId="51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20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16" fillId="33" borderId="40" xfId="58" applyFont="1" applyFill="1" applyBorder="1" applyAlignment="1">
      <alignment horizontal="center" vertical="center"/>
      <protection/>
    </xf>
    <xf numFmtId="0" fontId="16" fillId="33" borderId="2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0" fontId="16" fillId="33" borderId="38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wrapText="1"/>
      <protection/>
    </xf>
    <xf numFmtId="0" fontId="40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69" fillId="0" borderId="45" xfId="0" applyFont="1" applyBorder="1" applyAlignment="1" applyProtection="1">
      <alignment horizontal="center" wrapText="1"/>
      <protection/>
    </xf>
    <xf numFmtId="0" fontId="53" fillId="0" borderId="4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5" xfId="58" applyNumberFormat="1" applyFont="1" applyFill="1" applyBorder="1" applyAlignment="1">
      <alignment vertical="center"/>
      <protection/>
    </xf>
    <xf numFmtId="0" fontId="11" fillId="0" borderId="19" xfId="58" applyFont="1" applyBorder="1" applyAlignment="1">
      <alignment vertical="center" wrapText="1"/>
      <protection/>
    </xf>
    <xf numFmtId="0" fontId="11" fillId="0" borderId="21" xfId="58" applyFont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1" fillId="0" borderId="37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 wrapText="1"/>
      <protection/>
    </xf>
    <xf numFmtId="0" fontId="11" fillId="0" borderId="19" xfId="58" applyFont="1" applyBorder="1" applyAlignment="1">
      <alignment vertical="center"/>
      <protection/>
    </xf>
    <xf numFmtId="0" fontId="11" fillId="0" borderId="33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20" fillId="0" borderId="33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39" fillId="0" borderId="56" xfId="58" applyFont="1" applyBorder="1" applyAlignment="1">
      <alignment horizontal="center" vertical="center"/>
      <protection/>
    </xf>
    <xf numFmtId="0" fontId="7" fillId="0" borderId="3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43" applyFont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1" fillId="0" borderId="13" xfId="0" applyNumberFormat="1" applyFont="1" applyFill="1" applyBorder="1" applyAlignment="1">
      <alignment vertical="center"/>
    </xf>
    <xf numFmtId="3" fontId="41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66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49" fontId="0" fillId="0" borderId="48" xfId="0" applyNumberFormat="1" applyFont="1" applyBorder="1" applyAlignment="1">
      <alignment horizontal="left"/>
    </xf>
    <xf numFmtId="0" fontId="13" fillId="0" borderId="35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0" fontId="34" fillId="0" borderId="0" xfId="59" applyNumberFormat="1" applyFont="1" applyAlignment="1">
      <alignment horizontal="center" vertical="center"/>
      <protection/>
    </xf>
    <xf numFmtId="0" fontId="34" fillId="0" borderId="12" xfId="59" applyFont="1" applyBorder="1" applyAlignment="1">
      <alignment horizontal="center" vertical="center"/>
      <protection/>
    </xf>
    <xf numFmtId="10" fontId="34" fillId="0" borderId="24" xfId="59" applyNumberFormat="1" applyFont="1" applyBorder="1" applyAlignment="1">
      <alignment horizontal="center" vertical="center"/>
      <protection/>
    </xf>
    <xf numFmtId="0" fontId="34" fillId="0" borderId="25" xfId="59" applyFont="1" applyBorder="1" applyAlignment="1">
      <alignment horizontal="center" vertical="center"/>
      <protection/>
    </xf>
    <xf numFmtId="10" fontId="34" fillId="0" borderId="51" xfId="59" applyNumberFormat="1" applyFont="1" applyBorder="1" applyAlignment="1">
      <alignment horizontal="center" vertical="center"/>
      <protection/>
    </xf>
    <xf numFmtId="0" fontId="34" fillId="0" borderId="22" xfId="59" applyFont="1" applyBorder="1" applyAlignment="1">
      <alignment horizontal="center" vertical="center"/>
      <protection/>
    </xf>
    <xf numFmtId="0" fontId="34" fillId="0" borderId="16" xfId="59" applyFont="1" applyBorder="1" applyAlignment="1">
      <alignment horizontal="center" vertical="center"/>
      <protection/>
    </xf>
    <xf numFmtId="0" fontId="34" fillId="0" borderId="27" xfId="59" applyFont="1" applyBorder="1" applyAlignment="1">
      <alignment horizontal="center" vertical="center"/>
      <protection/>
    </xf>
    <xf numFmtId="10" fontId="34" fillId="0" borderId="52" xfId="59" applyNumberFormat="1" applyFont="1" applyBorder="1" applyAlignment="1">
      <alignment horizontal="center" vertical="center"/>
      <protection/>
    </xf>
    <xf numFmtId="1" fontId="36" fillId="0" borderId="13" xfId="59" applyNumberFormat="1" applyFont="1" applyBorder="1" applyAlignment="1">
      <alignment horizontal="center" vertical="center"/>
      <protection/>
    </xf>
    <xf numFmtId="10" fontId="34" fillId="0" borderId="39" xfId="59" applyNumberFormat="1" applyFont="1" applyBorder="1" applyAlignment="1">
      <alignment horizontal="center" vertical="center"/>
      <protection/>
    </xf>
    <xf numFmtId="3" fontId="11" fillId="0" borderId="0" xfId="58" applyNumberFormat="1" applyFont="1">
      <alignment/>
      <protection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3" fontId="43" fillId="0" borderId="58" xfId="58" applyNumberFormat="1" applyFont="1" applyFill="1" applyBorder="1" applyAlignment="1">
      <alignment horizontal="right"/>
      <protection/>
    </xf>
    <xf numFmtId="3" fontId="43" fillId="0" borderId="58" xfId="58" applyNumberFormat="1" applyFont="1" applyBorder="1" applyAlignment="1">
      <alignment horizontal="right"/>
      <protection/>
    </xf>
    <xf numFmtId="0" fontId="43" fillId="0" borderId="12" xfId="58" applyFont="1" applyBorder="1" applyAlignment="1">
      <alignment horizontal="right"/>
      <protection/>
    </xf>
    <xf numFmtId="3" fontId="43" fillId="0" borderId="12" xfId="58" applyNumberFormat="1" applyFont="1" applyBorder="1" applyAlignment="1">
      <alignment horizontal="right"/>
      <protection/>
    </xf>
    <xf numFmtId="3" fontId="43" fillId="0" borderId="12" xfId="58" applyNumberFormat="1" applyFont="1" applyFill="1" applyBorder="1" applyAlignment="1">
      <alignment horizontal="right"/>
      <protection/>
    </xf>
    <xf numFmtId="3" fontId="43" fillId="0" borderId="55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39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39" xfId="0" applyNumberFormat="1" applyFont="1" applyBorder="1" applyAlignment="1">
      <alignment vertical="center"/>
    </xf>
    <xf numFmtId="0" fontId="11" fillId="0" borderId="32" xfId="58" applyFont="1" applyBorder="1" applyAlignment="1">
      <alignment vertical="center" wrapText="1"/>
      <protection/>
    </xf>
    <xf numFmtId="0" fontId="11" fillId="0" borderId="31" xfId="58" applyFont="1" applyBorder="1" applyAlignment="1">
      <alignment vertical="center" wrapText="1"/>
      <protection/>
    </xf>
    <xf numFmtId="0" fontId="11" fillId="0" borderId="31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 wrapText="1"/>
      <protection/>
    </xf>
    <xf numFmtId="0" fontId="11" fillId="0" borderId="59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 wrapText="1"/>
      <protection/>
    </xf>
    <xf numFmtId="0" fontId="17" fillId="0" borderId="35" xfId="58" applyFont="1" applyBorder="1" applyAlignment="1">
      <alignment horizontal="center" vertical="center" wrapText="1"/>
      <protection/>
    </xf>
    <xf numFmtId="0" fontId="11" fillId="0" borderId="47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/>
      <protection/>
    </xf>
    <xf numFmtId="0" fontId="11" fillId="0" borderId="32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39" fillId="0" borderId="35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39" xfId="58" applyFont="1" applyBorder="1" applyAlignment="1">
      <alignment horizontal="center" vertical="center"/>
      <protection/>
    </xf>
    <xf numFmtId="3" fontId="11" fillId="0" borderId="25" xfId="58" applyNumberFormat="1" applyBorder="1" applyAlignment="1">
      <alignment vertical="center"/>
      <protection/>
    </xf>
    <xf numFmtId="3" fontId="11" fillId="0" borderId="20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27" xfId="58" applyNumberFormat="1" applyBorder="1" applyAlignment="1">
      <alignment vertical="center"/>
      <protection/>
    </xf>
    <xf numFmtId="3" fontId="11" fillId="0" borderId="26" xfId="58" applyNumberFormat="1" applyBorder="1" applyAlignment="1">
      <alignment vertical="center"/>
      <protection/>
    </xf>
    <xf numFmtId="3" fontId="11" fillId="0" borderId="2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6" xfId="58" applyNumberFormat="1" applyBorder="1" applyAlignment="1">
      <alignment vertical="center"/>
      <protection/>
    </xf>
    <xf numFmtId="3" fontId="11" fillId="0" borderId="42" xfId="58" applyNumberFormat="1" applyBorder="1" applyAlignment="1">
      <alignment vertical="center"/>
      <protection/>
    </xf>
    <xf numFmtId="3" fontId="13" fillId="0" borderId="27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7" xfId="58" applyNumberFormat="1" applyFill="1" applyBorder="1" applyAlignment="1">
      <alignment vertical="center"/>
      <protection/>
    </xf>
    <xf numFmtId="3" fontId="11" fillId="0" borderId="25" xfId="58" applyNumberFormat="1" applyFont="1" applyBorder="1" applyAlignment="1">
      <alignment vertical="center"/>
      <protection/>
    </xf>
    <xf numFmtId="3" fontId="17" fillId="0" borderId="27" xfId="58" applyNumberFormat="1" applyFont="1" applyBorder="1" applyAlignment="1">
      <alignment vertical="center"/>
      <protection/>
    </xf>
    <xf numFmtId="3" fontId="17" fillId="0" borderId="36" xfId="58" applyNumberFormat="1" applyFont="1" applyBorder="1" applyAlignment="1">
      <alignment vertical="center"/>
      <protection/>
    </xf>
    <xf numFmtId="3" fontId="39" fillId="0" borderId="36" xfId="58" applyNumberFormat="1" applyFont="1" applyBorder="1" applyAlignment="1">
      <alignment vertical="center"/>
      <protection/>
    </xf>
    <xf numFmtId="3" fontId="11" fillId="0" borderId="17" xfId="58" applyNumberForma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23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39" fillId="0" borderId="13" xfId="58" applyNumberFormat="1" applyFont="1" applyBorder="1" applyAlignment="1">
      <alignment vertical="center"/>
      <protection/>
    </xf>
    <xf numFmtId="3" fontId="39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27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49" fontId="0" fillId="0" borderId="37" xfId="0" applyNumberFormat="1" applyFont="1" applyBorder="1" applyAlignment="1">
      <alignment horizontal="left"/>
    </xf>
    <xf numFmtId="0" fontId="16" fillId="33" borderId="54" xfId="58" applyFont="1" applyFill="1" applyBorder="1" applyAlignment="1">
      <alignment horizontal="center" vertical="center"/>
      <protection/>
    </xf>
    <xf numFmtId="49" fontId="7" fillId="0" borderId="60" xfId="0" applyNumberFormat="1" applyFont="1" applyBorder="1" applyAlignment="1">
      <alignment horizontal="left" vertical="center"/>
    </xf>
    <xf numFmtId="0" fontId="51" fillId="0" borderId="50" xfId="0" applyFont="1" applyFill="1" applyBorder="1" applyAlignment="1" applyProtection="1">
      <alignment horizontal="center" vertical="center" wrapText="1"/>
      <protection/>
    </xf>
    <xf numFmtId="0" fontId="51" fillId="0" borderId="49" xfId="0" applyFont="1" applyFill="1" applyBorder="1" applyAlignment="1" applyProtection="1">
      <alignment horizontal="center" vertical="center" wrapTex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47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7" xfId="0" applyNumberFormat="1" applyFont="1" applyFill="1" applyBorder="1" applyAlignment="1" applyProtection="1">
      <alignment horizontal="center" vertical="center" wrapText="1"/>
      <protection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47" fillId="0" borderId="61" xfId="61" applyFont="1" applyFill="1" applyBorder="1" applyAlignment="1" applyProtection="1">
      <alignment horizontal="left" vertical="center" wrapText="1" indent="1"/>
      <protection/>
    </xf>
    <xf numFmtId="0" fontId="47" fillId="0" borderId="58" xfId="61" applyFont="1" applyFill="1" applyBorder="1" applyAlignment="1" applyProtection="1">
      <alignment horizontal="left" vertical="center" wrapText="1" indent="1"/>
      <protection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55" fillId="0" borderId="35" xfId="61" applyFont="1" applyFill="1" applyBorder="1" applyAlignment="1" applyProtection="1">
      <alignment horizontal="left" vertical="center" wrapText="1" indent="1"/>
      <protection/>
    </xf>
    <xf numFmtId="0" fontId="51" fillId="0" borderId="54" xfId="0" applyFont="1" applyFill="1" applyBorder="1" applyAlignment="1" applyProtection="1">
      <alignment horizontal="left" vertical="center" wrapText="1" indent="1"/>
      <protection/>
    </xf>
    <xf numFmtId="0" fontId="29" fillId="0" borderId="35" xfId="0" applyFont="1" applyFill="1" applyBorder="1" applyAlignment="1" applyProtection="1">
      <alignment vertical="center" wrapTex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51" fillId="0" borderId="44" xfId="0" applyFont="1" applyFill="1" applyBorder="1" applyAlignment="1" applyProtection="1">
      <alignment horizontal="center" vertical="center" wrapText="1"/>
      <protection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0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3" fontId="2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63" xfId="0" applyFont="1" applyFill="1" applyBorder="1" applyAlignment="1" applyProtection="1">
      <alignment horizontal="center" vertical="center" wrapText="1"/>
      <protection/>
    </xf>
    <xf numFmtId="0" fontId="55" fillId="0" borderId="54" xfId="0" applyFont="1" applyFill="1" applyBorder="1" applyAlignment="1" applyProtection="1">
      <alignment horizontal="left" vertical="center" wrapText="1" indent="1"/>
      <protection/>
    </xf>
    <xf numFmtId="0" fontId="47" fillId="0" borderId="64" xfId="61" applyFont="1" applyFill="1" applyBorder="1" applyAlignment="1" applyProtection="1">
      <alignment horizontal="left" vertical="center" wrapText="1" indent="1"/>
      <protection/>
    </xf>
    <xf numFmtId="0" fontId="47" fillId="0" borderId="65" xfId="61" applyFont="1" applyFill="1" applyBorder="1" applyAlignment="1" applyProtection="1">
      <alignment horizontal="left" vertical="center" wrapText="1" indent="1"/>
      <protection/>
    </xf>
    <xf numFmtId="0" fontId="55" fillId="0" borderId="63" xfId="61" applyFont="1" applyFill="1" applyBorder="1" applyAlignment="1" applyProtection="1">
      <alignment horizontal="left" vertical="center" wrapText="1" indent="1"/>
      <protection/>
    </xf>
    <xf numFmtId="0" fontId="47" fillId="0" borderId="66" xfId="61" applyFont="1" applyFill="1" applyBorder="1" applyAlignment="1" applyProtection="1">
      <alignment horizontal="left" vertical="center" wrapText="1" indent="1"/>
      <protection/>
    </xf>
    <xf numFmtId="0" fontId="52" fillId="0" borderId="35" xfId="0" applyFont="1" applyBorder="1" applyAlignment="1" applyProtection="1">
      <alignment horizontal="left" wrapText="1" indent="1"/>
      <protection/>
    </xf>
    <xf numFmtId="0" fontId="55" fillId="0" borderId="46" xfId="0" applyFont="1" applyFill="1" applyBorder="1" applyAlignment="1" applyProtection="1">
      <alignment horizontal="center" vertical="center" wrapText="1"/>
      <protection/>
    </xf>
    <xf numFmtId="167" fontId="51" fillId="0" borderId="67" xfId="0" applyNumberFormat="1" applyFont="1" applyFill="1" applyBorder="1" applyAlignment="1" applyProtection="1">
      <alignment horizontal="center" vertical="center" wrapText="1"/>
      <protection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28" xfId="0" applyNumberFormat="1" applyFont="1" applyFill="1" applyBorder="1" applyAlignment="1" applyProtection="1">
      <alignment horizontal="center" vertical="center" wrapText="1"/>
      <protection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right" vertical="center" wrapText="1" indent="1"/>
      <protection/>
    </xf>
    <xf numFmtId="0" fontId="0" fillId="0" borderId="28" xfId="0" applyFont="1" applyFill="1" applyBorder="1" applyAlignment="1" applyProtection="1">
      <alignment horizontal="right" vertical="center" wrapText="1" inden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29" fillId="0" borderId="46" xfId="0" applyFont="1" applyFill="1" applyBorder="1" applyAlignment="1">
      <alignment vertical="center"/>
    </xf>
    <xf numFmtId="10" fontId="55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3" fontId="29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3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22" xfId="59" applyFont="1" applyBorder="1" applyAlignment="1">
      <alignment horizontal="center" vertical="center" wrapText="1"/>
      <protection/>
    </xf>
    <xf numFmtId="2" fontId="38" fillId="0" borderId="12" xfId="59" applyNumberFormat="1" applyFont="1" applyFill="1" applyBorder="1" applyAlignment="1">
      <alignment horizontal="center" vertical="center" wrapText="1"/>
      <protection/>
    </xf>
    <xf numFmtId="2" fontId="38" fillId="0" borderId="22" xfId="59" applyNumberFormat="1" applyFont="1" applyFill="1" applyBorder="1" applyAlignment="1">
      <alignment horizontal="center" vertical="center" wrapText="1"/>
      <protection/>
    </xf>
    <xf numFmtId="2" fontId="36" fillId="0" borderId="36" xfId="59" applyNumberFormat="1" applyFont="1" applyBorder="1" applyAlignment="1">
      <alignment horizontal="center" vertical="center"/>
      <protection/>
    </xf>
    <xf numFmtId="0" fontId="16" fillId="33" borderId="75" xfId="58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58" xfId="58" applyFont="1" applyBorder="1" applyAlignment="1">
      <alignment horizontal="center" vertical="center"/>
      <protection/>
    </xf>
    <xf numFmtId="0" fontId="16" fillId="0" borderId="54" xfId="58" applyFont="1" applyBorder="1" applyAlignment="1">
      <alignment horizontal="center" vertical="center"/>
      <protection/>
    </xf>
    <xf numFmtId="0" fontId="16" fillId="33" borderId="60" xfId="58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10" fontId="15" fillId="0" borderId="24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7" xfId="58" applyNumberFormat="1" applyFont="1" applyBorder="1" applyAlignment="1">
      <alignment vertical="center"/>
      <protection/>
    </xf>
    <xf numFmtId="3" fontId="15" fillId="0" borderId="12" xfId="58" applyNumberFormat="1" applyFont="1" applyBorder="1" applyAlignment="1">
      <alignment vertical="center"/>
      <protection/>
    </xf>
    <xf numFmtId="0" fontId="11" fillId="0" borderId="48" xfId="58" applyFont="1" applyBorder="1">
      <alignment/>
      <protection/>
    </xf>
    <xf numFmtId="0" fontId="11" fillId="0" borderId="48" xfId="58" applyFont="1" applyFill="1" applyBorder="1">
      <alignment/>
      <protection/>
    </xf>
    <xf numFmtId="0" fontId="12" fillId="1" borderId="20" xfId="58" applyFont="1" applyFill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left" wrapText="1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0" fontId="2" fillId="0" borderId="39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72" fillId="0" borderId="0" xfId="57" applyFont="1" applyFill="1" applyBorder="1" applyAlignment="1" applyProtection="1">
      <alignment horizontal="center" vertical="center"/>
      <protection/>
    </xf>
    <xf numFmtId="0" fontId="73" fillId="0" borderId="0" xfId="57" applyFont="1" applyFill="1" applyBorder="1" applyAlignment="1" applyProtection="1">
      <alignment horizontal="right"/>
      <protection/>
    </xf>
    <xf numFmtId="0" fontId="52" fillId="0" borderId="11" xfId="57" applyFont="1" applyFill="1" applyBorder="1" applyAlignment="1" applyProtection="1">
      <alignment horizontal="center" vertical="center" wrapText="1"/>
      <protection/>
    </xf>
    <xf numFmtId="0" fontId="52" fillId="0" borderId="39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68" fillId="0" borderId="12" xfId="57" applyFont="1" applyBorder="1">
      <alignment/>
      <protection/>
    </xf>
    <xf numFmtId="0" fontId="60" fillId="0" borderId="0" xfId="57" applyFont="1" applyFill="1" applyAlignment="1">
      <alignment vertical="center"/>
      <protection/>
    </xf>
    <xf numFmtId="0" fontId="1" fillId="0" borderId="12" xfId="57" applyBorder="1">
      <alignment/>
      <protection/>
    </xf>
    <xf numFmtId="0" fontId="1" fillId="0" borderId="12" xfId="57" applyFont="1" applyBorder="1">
      <alignment/>
      <protection/>
    </xf>
    <xf numFmtId="0" fontId="68" fillId="0" borderId="21" xfId="57" applyFont="1" applyBorder="1">
      <alignment/>
      <protection/>
    </xf>
    <xf numFmtId="0" fontId="68" fillId="0" borderId="33" xfId="57" applyFont="1" applyBorder="1">
      <alignment/>
      <protection/>
    </xf>
    <xf numFmtId="0" fontId="68" fillId="0" borderId="11" xfId="57" applyFont="1" applyBorder="1" applyAlignment="1">
      <alignment vertical="center"/>
      <protection/>
    </xf>
    <xf numFmtId="0" fontId="1" fillId="0" borderId="0" xfId="57" applyFill="1" applyAlignment="1">
      <alignment vertical="center"/>
      <protection/>
    </xf>
    <xf numFmtId="0" fontId="68" fillId="0" borderId="19" xfId="57" applyFont="1" applyBorder="1">
      <alignment/>
      <protection/>
    </xf>
    <xf numFmtId="0" fontId="68" fillId="0" borderId="11" xfId="57" applyFont="1" applyFill="1" applyBorder="1" applyAlignment="1">
      <alignment vertical="center"/>
      <protection/>
    </xf>
    <xf numFmtId="0" fontId="68" fillId="0" borderId="48" xfId="57" applyFont="1" applyFill="1" applyBorder="1">
      <alignment/>
      <protection/>
    </xf>
    <xf numFmtId="0" fontId="68" fillId="0" borderId="0" xfId="57" applyFont="1" applyFill="1">
      <alignment/>
      <protection/>
    </xf>
    <xf numFmtId="0" fontId="68" fillId="0" borderId="0" xfId="57" applyFont="1" applyFill="1" applyAlignment="1">
      <alignment vertical="center"/>
      <protection/>
    </xf>
    <xf numFmtId="0" fontId="68" fillId="0" borderId="11" xfId="57" applyFont="1" applyFill="1" applyBorder="1">
      <alignment/>
      <protection/>
    </xf>
    <xf numFmtId="0" fontId="74" fillId="0" borderId="37" xfId="57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0" fontId="52" fillId="0" borderId="14" xfId="57" applyFont="1" applyFill="1" applyBorder="1" applyAlignment="1" applyProtection="1">
      <alignment horizontal="center" vertical="center" wrapText="1"/>
      <protection/>
    </xf>
    <xf numFmtId="3" fontId="68" fillId="0" borderId="20" xfId="57" applyNumberFormat="1" applyFont="1" applyBorder="1" applyAlignment="1">
      <alignment horizontal="right"/>
      <protection/>
    </xf>
    <xf numFmtId="3" fontId="1" fillId="0" borderId="23" xfId="57" applyNumberFormat="1" applyFont="1" applyBorder="1" applyAlignment="1">
      <alignment horizontal="right"/>
      <protection/>
    </xf>
    <xf numFmtId="3" fontId="68" fillId="0" borderId="23" xfId="57" applyNumberFormat="1" applyFont="1" applyBorder="1" applyAlignment="1">
      <alignment horizontal="right"/>
      <protection/>
    </xf>
    <xf numFmtId="3" fontId="68" fillId="0" borderId="14" xfId="57" applyNumberFormat="1" applyFont="1" applyBorder="1" applyAlignment="1">
      <alignment horizontal="right" vertical="center"/>
      <protection/>
    </xf>
    <xf numFmtId="3" fontId="68" fillId="0" borderId="14" xfId="57" applyNumberFormat="1" applyFont="1" applyFill="1" applyBorder="1" applyAlignment="1">
      <alignment vertical="center"/>
      <protection/>
    </xf>
    <xf numFmtId="3" fontId="68" fillId="0" borderId="20" xfId="57" applyNumberFormat="1" applyFont="1" applyFill="1" applyBorder="1">
      <alignment/>
      <protection/>
    </xf>
    <xf numFmtId="3" fontId="1" fillId="0" borderId="23" xfId="57" applyNumberFormat="1" applyFont="1" applyFill="1" applyBorder="1">
      <alignment/>
      <protection/>
    </xf>
    <xf numFmtId="3" fontId="68" fillId="0" borderId="14" xfId="57" applyNumberFormat="1" applyFont="1" applyFill="1" applyBorder="1">
      <alignment/>
      <protection/>
    </xf>
    <xf numFmtId="3" fontId="68" fillId="0" borderId="23" xfId="57" applyNumberFormat="1" applyFont="1" applyBorder="1">
      <alignment/>
      <protection/>
    </xf>
    <xf numFmtId="3" fontId="68" fillId="0" borderId="26" xfId="57" applyNumberFormat="1" applyFont="1" applyBorder="1">
      <alignment/>
      <protection/>
    </xf>
    <xf numFmtId="3" fontId="74" fillId="0" borderId="15" xfId="57" applyNumberFormat="1" applyFont="1" applyBorder="1" applyAlignment="1">
      <alignment vertical="center"/>
      <protection/>
    </xf>
    <xf numFmtId="167" fontId="5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47" fillId="0" borderId="28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77" xfId="0" applyNumberFormat="1" applyFont="1" applyBorder="1" applyAlignment="1">
      <alignment horizontal="left"/>
    </xf>
    <xf numFmtId="49" fontId="7" fillId="0" borderId="59" xfId="0" applyNumberFormat="1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3" fillId="0" borderId="10" xfId="58" applyFont="1" applyBorder="1" applyAlignment="1">
      <alignment vertical="center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49" fontId="7" fillId="0" borderId="37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68" fillId="0" borderId="12" xfId="57" applyFont="1" applyFill="1" applyBorder="1">
      <alignment/>
      <protection/>
    </xf>
    <xf numFmtId="3" fontId="68" fillId="0" borderId="23" xfId="57" applyNumberFormat="1" applyFont="1" applyFill="1" applyBorder="1">
      <alignment/>
      <protection/>
    </xf>
    <xf numFmtId="0" fontId="1" fillId="0" borderId="21" xfId="57" applyFont="1" applyFill="1" applyBorder="1">
      <alignment/>
      <protection/>
    </xf>
    <xf numFmtId="0" fontId="68" fillId="0" borderId="37" xfId="57" applyFont="1" applyFill="1" applyBorder="1">
      <alignment/>
      <protection/>
    </xf>
    <xf numFmtId="3" fontId="68" fillId="0" borderId="15" xfId="57" applyNumberFormat="1" applyFont="1" applyFill="1" applyBorder="1">
      <alignment/>
      <protection/>
    </xf>
    <xf numFmtId="3" fontId="68" fillId="0" borderId="15" xfId="57" applyNumberFormat="1" applyFont="1" applyBorder="1" applyAlignment="1">
      <alignment horizontal="right"/>
      <protection/>
    </xf>
    <xf numFmtId="0" fontId="1" fillId="0" borderId="0" xfId="57" applyFont="1" applyFill="1" applyAlignment="1">
      <alignment horizontal="right"/>
      <protection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vertical="center"/>
    </xf>
    <xf numFmtId="0" fontId="15" fillId="0" borderId="12" xfId="58" applyFont="1" applyFill="1" applyBorder="1" applyAlignment="1">
      <alignment horizontal="right" wrapText="1"/>
      <protection/>
    </xf>
    <xf numFmtId="0" fontId="75" fillId="0" borderId="0" xfId="58" applyFont="1" applyAlignment="1">
      <alignment horizontal="right"/>
      <protection/>
    </xf>
    <xf numFmtId="3" fontId="17" fillId="0" borderId="0" xfId="58" applyNumberFormat="1" applyFont="1" applyAlignment="1">
      <alignment horizontal="right"/>
      <protection/>
    </xf>
    <xf numFmtId="0" fontId="76" fillId="0" borderId="0" xfId="58" applyFont="1" applyAlignment="1">
      <alignment horizontal="center"/>
      <protection/>
    </xf>
    <xf numFmtId="0" fontId="7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75" fillId="0" borderId="0" xfId="58" applyFont="1">
      <alignment/>
      <protection/>
    </xf>
    <xf numFmtId="3" fontId="11" fillId="0" borderId="0" xfId="58" applyNumberFormat="1">
      <alignment/>
      <protection/>
    </xf>
    <xf numFmtId="3" fontId="11" fillId="0" borderId="0" xfId="58" applyNumberFormat="1" applyFont="1" applyAlignment="1">
      <alignment horizontal="right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48" xfId="58" applyBorder="1" applyAlignment="1">
      <alignment vertical="center" wrapText="1"/>
      <protection/>
    </xf>
    <xf numFmtId="0" fontId="11" fillId="0" borderId="0" xfId="58" applyAlignment="1">
      <alignment vertical="center" wrapText="1"/>
      <protection/>
    </xf>
    <xf numFmtId="0" fontId="13" fillId="0" borderId="40" xfId="58" applyFont="1" applyBorder="1" applyAlignment="1">
      <alignment horizontal="center" vertical="center" wrapText="1"/>
      <protection/>
    </xf>
    <xf numFmtId="166" fontId="78" fillId="0" borderId="60" xfId="60" applyNumberFormat="1" applyFont="1" applyBorder="1" applyAlignment="1">
      <alignment horizontal="center" vertical="center" wrapText="1"/>
      <protection/>
    </xf>
    <xf numFmtId="3" fontId="78" fillId="0" borderId="44" xfId="60" applyNumberFormat="1" applyFont="1" applyBorder="1" applyAlignment="1">
      <alignment horizontal="center" vertical="center" wrapText="1"/>
      <protection/>
    </xf>
    <xf numFmtId="3" fontId="78" fillId="0" borderId="38" xfId="60" applyNumberFormat="1" applyFont="1" applyBorder="1" applyAlignment="1">
      <alignment horizontal="center" vertical="center" wrapText="1"/>
      <protection/>
    </xf>
    <xf numFmtId="3" fontId="78" fillId="0" borderId="49" xfId="60" applyNumberFormat="1" applyFont="1" applyBorder="1" applyAlignment="1">
      <alignment horizontal="center" vertical="center" wrapText="1"/>
      <protection/>
    </xf>
    <xf numFmtId="3" fontId="80" fillId="0" borderId="17" xfId="60" applyNumberFormat="1" applyFont="1" applyFill="1" applyBorder="1" applyAlignment="1">
      <alignment vertical="top"/>
      <protection/>
    </xf>
    <xf numFmtId="3" fontId="80" fillId="0" borderId="18" xfId="60" applyNumberFormat="1" applyFont="1" applyFill="1" applyBorder="1" applyAlignment="1">
      <alignment vertical="top"/>
      <protection/>
    </xf>
    <xf numFmtId="10" fontId="80" fillId="0" borderId="41" xfId="60" applyNumberFormat="1" applyFont="1" applyFill="1" applyBorder="1" applyAlignment="1">
      <alignment vertical="top"/>
      <protection/>
    </xf>
    <xf numFmtId="3" fontId="80" fillId="0" borderId="41" xfId="60" applyNumberFormat="1" applyFont="1" applyFill="1" applyBorder="1" applyAlignment="1">
      <alignment vertical="top"/>
      <protection/>
    </xf>
    <xf numFmtId="0" fontId="79" fillId="0" borderId="31" xfId="60" applyFont="1" applyFill="1" applyBorder="1" applyAlignment="1">
      <alignment horizontal="left"/>
      <protection/>
    </xf>
    <xf numFmtId="3" fontId="80" fillId="0" borderId="12" xfId="60" applyNumberFormat="1" applyFont="1" applyFill="1" applyBorder="1" applyAlignment="1">
      <alignment vertical="top"/>
      <protection/>
    </xf>
    <xf numFmtId="3" fontId="80" fillId="0" borderId="23" xfId="60" applyNumberFormat="1" applyFont="1" applyFill="1" applyBorder="1" applyAlignment="1">
      <alignment vertical="top"/>
      <protection/>
    </xf>
    <xf numFmtId="10" fontId="80" fillId="0" borderId="24" xfId="60" applyNumberFormat="1" applyFont="1" applyFill="1" applyBorder="1" applyAlignment="1">
      <alignment vertical="top"/>
      <protection/>
    </xf>
    <xf numFmtId="3" fontId="80" fillId="0" borderId="24" xfId="60" applyNumberFormat="1" applyFont="1" applyFill="1" applyBorder="1" applyAlignment="1">
      <alignment vertical="top"/>
      <protection/>
    </xf>
    <xf numFmtId="3" fontId="80" fillId="0" borderId="12" xfId="60" applyNumberFormat="1" applyFont="1" applyFill="1" applyBorder="1">
      <alignment/>
      <protection/>
    </xf>
    <xf numFmtId="3" fontId="80" fillId="0" borderId="23" xfId="60" applyNumberFormat="1" applyFont="1" applyFill="1" applyBorder="1">
      <alignment/>
      <protection/>
    </xf>
    <xf numFmtId="3" fontId="80" fillId="0" borderId="24" xfId="60" applyNumberFormat="1" applyFont="1" applyFill="1" applyBorder="1">
      <alignment/>
      <protection/>
    </xf>
    <xf numFmtId="0" fontId="11" fillId="0" borderId="22" xfId="58" applyFont="1" applyBorder="1" applyAlignment="1">
      <alignment horizontal="center" vertical="center"/>
      <protection/>
    </xf>
    <xf numFmtId="3" fontId="80" fillId="0" borderId="22" xfId="60" applyNumberFormat="1" applyFont="1" applyFill="1" applyBorder="1">
      <alignment/>
      <protection/>
    </xf>
    <xf numFmtId="3" fontId="80" fillId="0" borderId="15" xfId="60" applyNumberFormat="1" applyFont="1" applyFill="1" applyBorder="1">
      <alignment/>
      <protection/>
    </xf>
    <xf numFmtId="3" fontId="80" fillId="0" borderId="16" xfId="60" applyNumberFormat="1" applyFont="1" applyFill="1" applyBorder="1">
      <alignment/>
      <protection/>
    </xf>
    <xf numFmtId="0" fontId="11" fillId="0" borderId="13" xfId="58" applyFont="1" applyBorder="1" applyAlignment="1">
      <alignment horizontal="center" vertical="center"/>
      <protection/>
    </xf>
    <xf numFmtId="3" fontId="81" fillId="0" borderId="13" xfId="60" applyNumberFormat="1" applyFont="1" applyBorder="1" applyAlignment="1">
      <alignment vertical="center"/>
      <protection/>
    </xf>
    <xf numFmtId="3" fontId="81" fillId="0" borderId="14" xfId="60" applyNumberFormat="1" applyFont="1" applyBorder="1" applyAlignment="1">
      <alignment vertical="center"/>
      <protection/>
    </xf>
    <xf numFmtId="10" fontId="81" fillId="0" borderId="39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0" fontId="83" fillId="0" borderId="0" xfId="58" applyFont="1" applyAlignment="1">
      <alignment vertical="center"/>
      <protection/>
    </xf>
    <xf numFmtId="0" fontId="84" fillId="0" borderId="48" xfId="58" applyFont="1" applyBorder="1" applyAlignment="1">
      <alignment vertical="center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11" fillId="0" borderId="48" xfId="58" applyBorder="1" applyAlignment="1">
      <alignment vertical="center"/>
      <protection/>
    </xf>
    <xf numFmtId="0" fontId="24" fillId="34" borderId="33" xfId="58" applyFont="1" applyFill="1" applyBorder="1" applyAlignment="1">
      <alignment horizontal="center" vertical="center" wrapText="1"/>
      <protection/>
    </xf>
    <xf numFmtId="3" fontId="24" fillId="34" borderId="78" xfId="58" applyNumberFormat="1" applyFont="1" applyFill="1" applyBorder="1" applyAlignment="1">
      <alignment horizontal="center" vertical="center" wrapText="1"/>
      <protection/>
    </xf>
    <xf numFmtId="3" fontId="24" fillId="34" borderId="79" xfId="58" applyNumberFormat="1" applyFont="1" applyFill="1" applyBorder="1" applyAlignment="1">
      <alignment horizontal="center" vertical="center" wrapText="1"/>
      <protection/>
    </xf>
    <xf numFmtId="3" fontId="24" fillId="34" borderId="80" xfId="58" applyNumberFormat="1" applyFont="1" applyFill="1" applyBorder="1" applyAlignment="1">
      <alignment horizontal="center" vertical="center" wrapText="1"/>
      <protection/>
    </xf>
    <xf numFmtId="0" fontId="79" fillId="0" borderId="21" xfId="0" applyFont="1" applyBorder="1" applyAlignment="1">
      <alignment vertical="center" wrapText="1"/>
    </xf>
    <xf numFmtId="0" fontId="79" fillId="0" borderId="23" xfId="0" applyFont="1" applyBorder="1" applyAlignment="1">
      <alignment horizontal="center" vertical="center" wrapText="1"/>
    </xf>
    <xf numFmtId="3" fontId="33" fillId="0" borderId="23" xfId="58" applyNumberFormat="1" applyFont="1" applyBorder="1" applyAlignment="1">
      <alignment horizontal="right" vertical="center" wrapText="1"/>
      <protection/>
    </xf>
    <xf numFmtId="3" fontId="33" fillId="0" borderId="20" xfId="58" applyNumberFormat="1" applyFont="1" applyBorder="1" applyAlignment="1">
      <alignment horizontal="right" vertical="center" wrapText="1"/>
      <protection/>
    </xf>
    <xf numFmtId="10" fontId="33" fillId="0" borderId="20" xfId="58" applyNumberFormat="1" applyFont="1" applyBorder="1" applyAlignment="1">
      <alignment horizontal="right" vertical="center" wrapText="1"/>
      <protection/>
    </xf>
    <xf numFmtId="10" fontId="33" fillId="0" borderId="23" xfId="58" applyNumberFormat="1" applyFont="1" applyBorder="1" applyAlignment="1">
      <alignment horizontal="right" vertical="center" wrapText="1"/>
      <protection/>
    </xf>
    <xf numFmtId="10" fontId="33" fillId="0" borderId="24" xfId="58" applyNumberFormat="1" applyFont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vertical="center"/>
      <protection/>
    </xf>
    <xf numFmtId="3" fontId="24" fillId="34" borderId="81" xfId="58" applyNumberFormat="1" applyFont="1" applyFill="1" applyBorder="1" applyAlignment="1">
      <alignment horizontal="center" vertical="center" wrapText="1"/>
      <protection/>
    </xf>
    <xf numFmtId="3" fontId="24" fillId="34" borderId="82" xfId="58" applyNumberFormat="1" applyFont="1" applyFill="1" applyBorder="1" applyAlignment="1">
      <alignment horizontal="center" vertical="center" wrapText="1"/>
      <protection/>
    </xf>
    <xf numFmtId="3" fontId="39" fillId="34" borderId="82" xfId="58" applyNumberFormat="1" applyFont="1" applyFill="1" applyBorder="1" applyAlignment="1">
      <alignment horizontal="right" vertical="center" wrapText="1"/>
      <protection/>
    </xf>
    <xf numFmtId="10" fontId="39" fillId="34" borderId="82" xfId="58" applyNumberFormat="1" applyFont="1" applyFill="1" applyBorder="1" applyAlignment="1">
      <alignment horizontal="right" vertical="center" wrapText="1"/>
      <protection/>
    </xf>
    <xf numFmtId="3" fontId="24" fillId="0" borderId="0" xfId="58" applyNumberFormat="1" applyFont="1" applyFill="1" applyBorder="1" applyAlignment="1">
      <alignment horizontal="center" vertical="center" wrapText="1"/>
      <protection/>
    </xf>
    <xf numFmtId="3" fontId="39" fillId="0" borderId="0" xfId="58" applyNumberFormat="1" applyFont="1" applyFill="1" applyBorder="1" applyAlignment="1">
      <alignment horizontal="right" vertical="center" wrapText="1"/>
      <protection/>
    </xf>
    <xf numFmtId="0" fontId="84" fillId="0" borderId="0" xfId="58" applyFont="1" applyAlignment="1">
      <alignment vertical="center"/>
      <protection/>
    </xf>
    <xf numFmtId="0" fontId="11" fillId="0" borderId="48" xfId="58" applyFill="1" applyBorder="1" applyAlignment="1">
      <alignment vertical="center"/>
      <protection/>
    </xf>
    <xf numFmtId="0" fontId="11" fillId="0" borderId="0" xfId="58" applyFill="1" applyAlignment="1">
      <alignment vertical="center"/>
      <protection/>
    </xf>
    <xf numFmtId="0" fontId="24" fillId="34" borderId="83" xfId="58" applyFont="1" applyFill="1" applyBorder="1" applyAlignment="1">
      <alignment horizontal="center" vertical="center" wrapText="1"/>
      <protection/>
    </xf>
    <xf numFmtId="0" fontId="24" fillId="34" borderId="79" xfId="58" applyFont="1" applyFill="1" applyBorder="1" applyAlignment="1">
      <alignment horizontal="center" vertical="center" wrapText="1"/>
      <protection/>
    </xf>
    <xf numFmtId="0" fontId="79" fillId="0" borderId="19" xfId="0" applyFont="1" applyFill="1" applyBorder="1" applyAlignment="1">
      <alignment vertical="center" wrapText="1"/>
    </xf>
    <xf numFmtId="0" fontId="79" fillId="0" borderId="20" xfId="0" applyFont="1" applyFill="1" applyBorder="1" applyAlignment="1">
      <alignment horizontal="center" vertical="center" wrapText="1"/>
    </xf>
    <xf numFmtId="3" fontId="33" fillId="0" borderId="20" xfId="58" applyNumberFormat="1" applyFont="1" applyFill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horizontal="right" vertical="center" wrapText="1"/>
      <protection/>
    </xf>
    <xf numFmtId="0" fontId="79" fillId="0" borderId="21" xfId="0" applyFont="1" applyFill="1" applyBorder="1" applyAlignment="1">
      <alignment vertical="center" wrapText="1"/>
    </xf>
    <xf numFmtId="0" fontId="79" fillId="0" borderId="23" xfId="0" applyFont="1" applyFill="1" applyBorder="1" applyAlignment="1">
      <alignment horizontal="center" vertical="center" wrapText="1"/>
    </xf>
    <xf numFmtId="0" fontId="79" fillId="0" borderId="84" xfId="0" applyFont="1" applyFill="1" applyBorder="1" applyAlignment="1">
      <alignment vertical="center" wrapText="1"/>
    </xf>
    <xf numFmtId="0" fontId="79" fillId="0" borderId="26" xfId="0" applyFont="1" applyFill="1" applyBorder="1" applyAlignment="1">
      <alignment horizontal="center" vertical="center" wrapText="1"/>
    </xf>
    <xf numFmtId="3" fontId="33" fillId="0" borderId="26" xfId="58" applyNumberFormat="1" applyFont="1" applyFill="1" applyBorder="1" applyAlignment="1">
      <alignment horizontal="right" vertical="center" wrapText="1"/>
      <protection/>
    </xf>
    <xf numFmtId="0" fontId="79" fillId="0" borderId="48" xfId="0" applyFont="1" applyFill="1" applyBorder="1" applyAlignment="1">
      <alignment vertical="center" wrapText="1"/>
    </xf>
    <xf numFmtId="0" fontId="79" fillId="0" borderId="28" xfId="0" applyFont="1" applyFill="1" applyBorder="1" applyAlignment="1">
      <alignment horizontal="center" vertical="center" wrapText="1"/>
    </xf>
    <xf numFmtId="3" fontId="33" fillId="0" borderId="28" xfId="58" applyNumberFormat="1" applyFont="1" applyFill="1" applyBorder="1" applyAlignment="1">
      <alignment horizontal="right" vertical="center" wrapText="1"/>
      <protection/>
    </xf>
    <xf numFmtId="10" fontId="11" fillId="0" borderId="0" xfId="58" applyNumberFormat="1" applyAlignment="1">
      <alignment vertical="center"/>
      <protection/>
    </xf>
    <xf numFmtId="0" fontId="30" fillId="0" borderId="0" xfId="61" applyFont="1" applyFill="1" applyAlignment="1">
      <alignment vertical="center"/>
      <protection/>
    </xf>
    <xf numFmtId="167" fontId="28" fillId="0" borderId="0" xfId="61" applyNumberFormat="1" applyFont="1" applyFill="1" applyBorder="1" applyAlignment="1" applyProtection="1">
      <alignment horizontal="centerContinuous"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8" fillId="0" borderId="17" xfId="61" applyFont="1" applyFill="1" applyBorder="1" applyAlignment="1" applyProtection="1">
      <alignment horizontal="center" vertical="center" wrapText="1"/>
      <protection/>
    </xf>
    <xf numFmtId="0" fontId="48" fillId="0" borderId="18" xfId="61" applyFont="1" applyFill="1" applyBorder="1" applyAlignment="1" applyProtection="1">
      <alignment horizontal="center" vertical="center" wrapText="1"/>
      <protection/>
    </xf>
    <xf numFmtId="0" fontId="48" fillId="0" borderId="41" xfId="61" applyFont="1" applyFill="1" applyBorder="1" applyAlignment="1" applyProtection="1">
      <alignment horizontal="center" vertical="center" wrapText="1"/>
      <protection/>
    </xf>
    <xf numFmtId="0" fontId="31" fillId="0" borderId="13" xfId="61" applyFont="1" applyFill="1" applyBorder="1" applyAlignment="1" applyProtection="1">
      <alignment horizontal="center" vertical="center"/>
      <protection/>
    </xf>
    <xf numFmtId="0" fontId="31" fillId="0" borderId="14" xfId="61" applyFont="1" applyFill="1" applyBorder="1" applyAlignment="1" applyProtection="1">
      <alignment horizontal="center" vertical="center"/>
      <protection/>
    </xf>
    <xf numFmtId="0" fontId="31" fillId="0" borderId="39" xfId="61" applyFont="1" applyFill="1" applyBorder="1" applyAlignment="1" applyProtection="1">
      <alignment horizontal="center" vertical="center"/>
      <protection/>
    </xf>
    <xf numFmtId="0" fontId="31" fillId="0" borderId="17" xfId="61" applyFont="1" applyFill="1" applyBorder="1" applyAlignment="1" applyProtection="1">
      <alignment horizontal="center" vertical="center"/>
      <protection/>
    </xf>
    <xf numFmtId="0" fontId="31" fillId="0" borderId="20" xfId="61" applyFont="1" applyFill="1" applyBorder="1" applyAlignment="1" applyProtection="1">
      <alignment vertical="center"/>
      <protection/>
    </xf>
    <xf numFmtId="168" fontId="31" fillId="0" borderId="41" xfId="40" applyNumberFormat="1" applyFont="1" applyFill="1" applyBorder="1" applyAlignment="1" applyProtection="1">
      <alignment vertical="center"/>
      <protection locked="0"/>
    </xf>
    <xf numFmtId="0" fontId="31" fillId="0" borderId="25" xfId="61" applyFont="1" applyFill="1" applyBorder="1" applyAlignment="1" applyProtection="1">
      <alignment horizontal="center" vertical="center"/>
      <protection/>
    </xf>
    <xf numFmtId="168" fontId="31" fillId="0" borderId="51" xfId="40" applyNumberFormat="1" applyFont="1" applyFill="1" applyBorder="1" applyAlignment="1" applyProtection="1">
      <alignment vertical="center"/>
      <protection locked="0"/>
    </xf>
    <xf numFmtId="0" fontId="31" fillId="0" borderId="12" xfId="61" applyFont="1" applyFill="1" applyBorder="1" applyAlignment="1" applyProtection="1">
      <alignment horizontal="center" vertical="center"/>
      <protection/>
    </xf>
    <xf numFmtId="0" fontId="80" fillId="0" borderId="23" xfId="0" applyFont="1" applyFill="1" applyBorder="1" applyAlignment="1">
      <alignment horizontal="justify" vertical="center" wrapText="1"/>
    </xf>
    <xf numFmtId="168" fontId="31" fillId="0" borderId="24" xfId="40" applyNumberFormat="1" applyFont="1" applyFill="1" applyBorder="1" applyAlignment="1" applyProtection="1">
      <alignment vertical="center"/>
      <protection locked="0"/>
    </xf>
    <xf numFmtId="0" fontId="80" fillId="0" borderId="23" xfId="0" applyFont="1" applyFill="1" applyBorder="1" applyAlignment="1">
      <alignment vertical="center" wrapText="1"/>
    </xf>
    <xf numFmtId="168" fontId="31" fillId="0" borderId="52" xfId="40" applyNumberFormat="1" applyFont="1" applyFill="1" applyBorder="1" applyAlignment="1" applyProtection="1">
      <alignment vertical="center"/>
      <protection locked="0"/>
    </xf>
    <xf numFmtId="168" fontId="48" fillId="0" borderId="39" xfId="40" applyNumberFormat="1" applyFont="1" applyFill="1" applyBorder="1" applyAlignment="1" applyProtection="1">
      <alignment vertical="center"/>
      <protection/>
    </xf>
    <xf numFmtId="0" fontId="47" fillId="0" borderId="0" xfId="61" applyFont="1" applyFill="1" applyBorder="1" applyAlignment="1">
      <alignment horizontal="justify" vertical="center" wrapText="1"/>
      <protection/>
    </xf>
    <xf numFmtId="10" fontId="31" fillId="0" borderId="41" xfId="40" applyNumberFormat="1" applyFont="1" applyFill="1" applyBorder="1" applyAlignment="1" applyProtection="1">
      <alignment vertical="center"/>
      <protection locked="0"/>
    </xf>
    <xf numFmtId="10" fontId="31" fillId="0" borderId="51" xfId="40" applyNumberFormat="1" applyFont="1" applyFill="1" applyBorder="1" applyAlignment="1" applyProtection="1">
      <alignment vertical="center"/>
      <protection locked="0"/>
    </xf>
    <xf numFmtId="10" fontId="31" fillId="0" borderId="24" xfId="40" applyNumberFormat="1" applyFont="1" applyFill="1" applyBorder="1" applyAlignment="1" applyProtection="1">
      <alignment vertical="center"/>
      <protection locked="0"/>
    </xf>
    <xf numFmtId="10" fontId="31" fillId="0" borderId="52" xfId="40" applyNumberFormat="1" applyFont="1" applyFill="1" applyBorder="1" applyAlignment="1" applyProtection="1">
      <alignment vertical="center"/>
      <protection locked="0"/>
    </xf>
    <xf numFmtId="10" fontId="48" fillId="0" borderId="39" xfId="40" applyNumberFormat="1" applyFont="1" applyFill="1" applyBorder="1" applyAlignment="1" applyProtection="1">
      <alignment vertical="center"/>
      <protection/>
    </xf>
    <xf numFmtId="10" fontId="68" fillId="0" borderId="39" xfId="57" applyNumberFormat="1" applyFont="1" applyBorder="1" applyAlignment="1">
      <alignment horizontal="right" vertical="center"/>
      <protection/>
    </xf>
    <xf numFmtId="10" fontId="68" fillId="0" borderId="43" xfId="57" applyNumberFormat="1" applyFont="1" applyFill="1" applyBorder="1" applyAlignment="1">
      <alignment vertical="center"/>
      <protection/>
    </xf>
    <xf numFmtId="10" fontId="68" fillId="0" borderId="51" xfId="57" applyNumberFormat="1" applyFont="1" applyFill="1" applyBorder="1">
      <alignment/>
      <protection/>
    </xf>
    <xf numFmtId="10" fontId="68" fillId="0" borderId="39" xfId="57" applyNumberFormat="1" applyFont="1" applyFill="1" applyBorder="1" applyAlignment="1">
      <alignment vertical="center"/>
      <protection/>
    </xf>
    <xf numFmtId="10" fontId="68" fillId="0" borderId="39" xfId="57" applyNumberFormat="1" applyFont="1" applyFill="1" applyBorder="1">
      <alignment/>
      <protection/>
    </xf>
    <xf numFmtId="10" fontId="68" fillId="0" borderId="24" xfId="57" applyNumberFormat="1" applyFont="1" applyBorder="1">
      <alignment/>
      <protection/>
    </xf>
    <xf numFmtId="167" fontId="9" fillId="0" borderId="0" xfId="0" applyNumberFormat="1" applyFont="1" applyFill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10" fontId="3" fillId="0" borderId="14" xfId="0" applyNumberFormat="1" applyFont="1" applyFill="1" applyBorder="1" applyAlignment="1">
      <alignment vertical="center"/>
    </xf>
    <xf numFmtId="10" fontId="7" fillId="0" borderId="20" xfId="0" applyNumberFormat="1" applyFont="1" applyFill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10" fontId="41" fillId="0" borderId="14" xfId="0" applyNumberFormat="1" applyFont="1" applyFill="1" applyBorder="1" applyAlignment="1">
      <alignment vertical="center"/>
    </xf>
    <xf numFmtId="10" fontId="3" fillId="0" borderId="14" xfId="0" applyNumberFormat="1" applyFont="1" applyFill="1" applyBorder="1" applyAlignment="1">
      <alignment horizontal="right" vertical="center"/>
    </xf>
    <xf numFmtId="10" fontId="7" fillId="0" borderId="26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horizontal="right" vertical="center"/>
    </xf>
    <xf numFmtId="10" fontId="7" fillId="0" borderId="16" xfId="0" applyNumberFormat="1" applyFont="1" applyFill="1" applyBorder="1" applyAlignment="1">
      <alignment horizontal="right" vertical="center"/>
    </xf>
    <xf numFmtId="10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45" xfId="0" applyNumberFormat="1" applyFont="1" applyFill="1" applyBorder="1" applyAlignment="1">
      <alignment horizontal="right" vertical="center" wrapText="1"/>
    </xf>
    <xf numFmtId="3" fontId="3" fillId="33" borderId="39" xfId="0" applyNumberFormat="1" applyFont="1" applyFill="1" applyBorder="1" applyAlignment="1">
      <alignment horizontal="right" vertical="center" wrapText="1"/>
    </xf>
    <xf numFmtId="10" fontId="3" fillId="33" borderId="39" xfId="0" applyNumberFormat="1" applyFont="1" applyFill="1" applyBorder="1" applyAlignment="1">
      <alignment horizontal="right" vertical="center" wrapText="1"/>
    </xf>
    <xf numFmtId="10" fontId="7" fillId="33" borderId="41" xfId="0" applyNumberFormat="1" applyFont="1" applyFill="1" applyBorder="1" applyAlignment="1">
      <alignment horizontal="right" vertical="center" wrapText="1"/>
    </xf>
    <xf numFmtId="10" fontId="7" fillId="33" borderId="24" xfId="0" applyNumberFormat="1" applyFont="1" applyFill="1" applyBorder="1" applyAlignment="1">
      <alignment horizontal="right" vertical="center" wrapText="1"/>
    </xf>
    <xf numFmtId="10" fontId="7" fillId="0" borderId="24" xfId="0" applyNumberFormat="1" applyFont="1" applyFill="1" applyBorder="1" applyAlignment="1">
      <alignment horizontal="right" vertical="center" wrapText="1"/>
    </xf>
    <xf numFmtId="10" fontId="7" fillId="0" borderId="16" xfId="0" applyNumberFormat="1" applyFont="1" applyFill="1" applyBorder="1" applyAlignment="1">
      <alignment horizontal="right" vertical="center" wrapText="1"/>
    </xf>
    <xf numFmtId="10" fontId="7" fillId="0" borderId="51" xfId="0" applyNumberFormat="1" applyFont="1" applyFill="1" applyBorder="1" applyAlignment="1">
      <alignment horizontal="right" vertical="center" wrapText="1"/>
    </xf>
    <xf numFmtId="10" fontId="3" fillId="0" borderId="39" xfId="0" applyNumberFormat="1" applyFont="1" applyFill="1" applyBorder="1" applyAlignment="1">
      <alignment horizontal="right" vertical="center"/>
    </xf>
    <xf numFmtId="10" fontId="3" fillId="0" borderId="4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right" vertical="center"/>
    </xf>
    <xf numFmtId="10" fontId="7" fillId="0" borderId="5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vertical="center"/>
    </xf>
    <xf numFmtId="10" fontId="3" fillId="0" borderId="39" xfId="0" applyNumberFormat="1" applyFont="1" applyFill="1" applyBorder="1" applyAlignment="1">
      <alignment vertical="center"/>
    </xf>
    <xf numFmtId="10" fontId="3" fillId="0" borderId="51" xfId="0" applyNumberFormat="1" applyFont="1" applyFill="1" applyBorder="1" applyAlignment="1">
      <alignment vertical="center"/>
    </xf>
    <xf numFmtId="10" fontId="7" fillId="0" borderId="52" xfId="0" applyNumberFormat="1" applyFont="1" applyFill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10" fontId="3" fillId="0" borderId="45" xfId="0" applyNumberFormat="1" applyFont="1" applyFill="1" applyBorder="1" applyAlignment="1">
      <alignment horizontal="centerContinuous" vertical="center" wrapText="1"/>
    </xf>
    <xf numFmtId="10" fontId="7" fillId="0" borderId="51" xfId="0" applyNumberFormat="1" applyFont="1" applyFill="1" applyBorder="1" applyAlignment="1">
      <alignment vertical="center"/>
    </xf>
    <xf numFmtId="10" fontId="41" fillId="0" borderId="39" xfId="0" applyNumberFormat="1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3" fillId="0" borderId="49" xfId="0" applyNumberFormat="1" applyFont="1" applyBorder="1" applyAlignment="1">
      <alignment vertical="center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ill="1" applyBorder="1" applyAlignment="1" applyProtection="1">
      <alignment horizontal="right" vertical="center" wrapText="1" indent="1"/>
      <protection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45" xfId="0" applyFont="1" applyFill="1" applyBorder="1" applyAlignment="1" applyProtection="1">
      <alignment horizontal="center" vertical="center" wrapText="1"/>
      <protection/>
    </xf>
    <xf numFmtId="167" fontId="51" fillId="0" borderId="85" xfId="0" applyNumberFormat="1" applyFont="1" applyFill="1" applyBorder="1" applyAlignment="1" applyProtection="1">
      <alignment horizontal="center" vertical="center" wrapText="1"/>
      <protection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ont="1" applyFill="1" applyBorder="1" applyAlignment="1" applyProtection="1">
      <alignment horizontal="right" vertical="center" wrapText="1" indent="1"/>
      <protection/>
    </xf>
    <xf numFmtId="167" fontId="51" fillId="0" borderId="53" xfId="0" applyNumberFormat="1" applyFont="1" applyFill="1" applyBorder="1" applyAlignment="1" applyProtection="1">
      <alignment horizontal="center" vertical="center" wrapText="1"/>
      <protection/>
    </xf>
    <xf numFmtId="3" fontId="16" fillId="33" borderId="44" xfId="58" applyNumberFormat="1" applyFont="1" applyFill="1" applyBorder="1" applyAlignment="1">
      <alignment horizontal="center" vertical="center"/>
      <protection/>
    </xf>
    <xf numFmtId="3" fontId="16" fillId="33" borderId="38" xfId="58" applyNumberFormat="1" applyFont="1" applyFill="1" applyBorder="1" applyAlignment="1">
      <alignment horizontal="center" vertical="center" wrapText="1"/>
      <protection/>
    </xf>
    <xf numFmtId="3" fontId="16" fillId="33" borderId="38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10" fontId="12" fillId="0" borderId="39" xfId="58" applyNumberFormat="1" applyFont="1" applyFill="1" applyBorder="1" applyAlignment="1">
      <alignment horizontal="right" vertical="center"/>
      <protection/>
    </xf>
    <xf numFmtId="3" fontId="15" fillId="0" borderId="23" xfId="0" applyNumberFormat="1" applyFont="1" applyFill="1" applyBorder="1" applyAlignment="1">
      <alignment vertical="center"/>
    </xf>
    <xf numFmtId="3" fontId="15" fillId="0" borderId="23" xfId="58" applyNumberFormat="1" applyFont="1" applyFill="1" applyBorder="1" applyAlignment="1">
      <alignment vertical="center"/>
      <protection/>
    </xf>
    <xf numFmtId="3" fontId="12" fillId="0" borderId="14" xfId="58" applyNumberFormat="1" applyFont="1" applyBorder="1" applyAlignment="1">
      <alignment horizontal="right"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0" fontId="6" fillId="1" borderId="35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>
      <alignment horizontal="center" vertical="center"/>
      <protection/>
    </xf>
    <xf numFmtId="0" fontId="2" fillId="0" borderId="32" xfId="58" applyFont="1" applyBorder="1" applyAlignment="1">
      <alignment horizontal="center" vertical="center"/>
      <protection/>
    </xf>
    <xf numFmtId="0" fontId="2" fillId="0" borderId="58" xfId="58" applyFont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6" fillId="0" borderId="54" xfId="58" applyFont="1" applyBorder="1" applyAlignment="1">
      <alignment vertical="center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3" fontId="7" fillId="0" borderId="17" xfId="58" applyNumberFormat="1" applyFont="1" applyFill="1" applyBorder="1" applyAlignment="1">
      <alignment horizontal="right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3" fontId="7" fillId="0" borderId="12" xfId="58" applyNumberFormat="1" applyFont="1" applyBorder="1" applyAlignment="1">
      <alignment horizontal="right" vertical="center"/>
      <protection/>
    </xf>
    <xf numFmtId="3" fontId="7" fillId="0" borderId="12" xfId="58" applyNumberFormat="1" applyFont="1" applyFill="1" applyBorder="1" applyAlignment="1">
      <alignment horizontal="right" vertical="center"/>
      <protection/>
    </xf>
    <xf numFmtId="3" fontId="3" fillId="0" borderId="13" xfId="58" applyNumberFormat="1" applyFont="1" applyBorder="1" applyAlignment="1">
      <alignment vertical="center"/>
      <protection/>
    </xf>
    <xf numFmtId="10" fontId="80" fillId="0" borderId="16" xfId="60" applyNumberFormat="1" applyFont="1" applyFill="1" applyBorder="1" applyAlignment="1">
      <alignment vertical="top"/>
      <protection/>
    </xf>
    <xf numFmtId="10" fontId="43" fillId="0" borderId="58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3" fontId="18" fillId="0" borderId="89" xfId="40" applyNumberFormat="1" applyFont="1" applyBorder="1" applyAlignment="1">
      <alignment horizontal="right" vertical="center"/>
    </xf>
    <xf numFmtId="3" fontId="18" fillId="0" borderId="89" xfId="58" applyNumberFormat="1" applyFont="1" applyBorder="1" applyAlignment="1">
      <alignment horizontal="right"/>
      <protection/>
    </xf>
    <xf numFmtId="3" fontId="18" fillId="0" borderId="71" xfId="58" applyNumberFormat="1" applyFont="1" applyBorder="1" applyAlignment="1">
      <alignment horizontal="right"/>
      <protection/>
    </xf>
    <xf numFmtId="10" fontId="18" fillId="0" borderId="16" xfId="58" applyNumberFormat="1" applyFont="1" applyFill="1" applyBorder="1" applyAlignment="1">
      <alignment horizontal="right"/>
      <protection/>
    </xf>
    <xf numFmtId="3" fontId="1" fillId="0" borderId="26" xfId="57" applyNumberFormat="1" applyFont="1" applyBorder="1">
      <alignment/>
      <protection/>
    </xf>
    <xf numFmtId="10" fontId="1" fillId="0" borderId="52" xfId="57" applyNumberFormat="1" applyFont="1" applyBorder="1">
      <alignment/>
      <protection/>
    </xf>
    <xf numFmtId="3" fontId="68" fillId="0" borderId="42" xfId="57" applyNumberFormat="1" applyFont="1" applyFill="1" applyBorder="1" applyAlignment="1">
      <alignment vertical="center"/>
      <protection/>
    </xf>
    <xf numFmtId="3" fontId="1" fillId="0" borderId="23" xfId="57" applyNumberFormat="1" applyFont="1" applyBorder="1">
      <alignment/>
      <protection/>
    </xf>
    <xf numFmtId="10" fontId="1" fillId="0" borderId="24" xfId="57" applyNumberFormat="1" applyFont="1" applyBorder="1">
      <alignment/>
      <protection/>
    </xf>
    <xf numFmtId="0" fontId="30" fillId="0" borderId="0" xfId="61" applyFont="1" applyFill="1">
      <alignment/>
      <protection/>
    </xf>
    <xf numFmtId="0" fontId="30" fillId="0" borderId="0" xfId="61" applyFont="1" applyFill="1" applyAlignment="1">
      <alignment vertical="center" wrapText="1"/>
      <protection/>
    </xf>
    <xf numFmtId="167" fontId="88" fillId="0" borderId="0" xfId="61" applyNumberFormat="1" applyFont="1" applyFill="1" applyBorder="1" applyAlignment="1" applyProtection="1">
      <alignment vertical="center" wrapText="1"/>
      <protection/>
    </xf>
    <xf numFmtId="167" fontId="28" fillId="0" borderId="0" xfId="61" applyNumberFormat="1" applyFont="1" applyFill="1" applyBorder="1" applyAlignment="1" applyProtection="1">
      <alignment horizontal="centerContinuous" vertical="center" wrapText="1"/>
      <protection/>
    </xf>
    <xf numFmtId="0" fontId="44" fillId="0" borderId="0" xfId="0" applyFont="1" applyFill="1" applyBorder="1" applyAlignment="1" applyProtection="1">
      <alignment/>
      <protection/>
    </xf>
    <xf numFmtId="0" fontId="48" fillId="0" borderId="0" xfId="61" applyFont="1" applyFill="1" applyBorder="1" applyAlignment="1">
      <alignment vertical="center" wrapText="1"/>
      <protection/>
    </xf>
    <xf numFmtId="0" fontId="48" fillId="0" borderId="26" xfId="61" applyFont="1" applyFill="1" applyBorder="1" applyAlignment="1">
      <alignment horizontal="center" vertical="center" wrapText="1"/>
      <protection/>
    </xf>
    <xf numFmtId="0" fontId="31" fillId="0" borderId="13" xfId="61" applyFont="1" applyFill="1" applyBorder="1" applyAlignment="1">
      <alignment horizontal="center" vertical="center"/>
      <protection/>
    </xf>
    <xf numFmtId="0" fontId="31" fillId="0" borderId="14" xfId="61" applyFont="1" applyFill="1" applyBorder="1" applyAlignment="1">
      <alignment horizontal="center" vertical="center" wrapText="1"/>
      <protection/>
    </xf>
    <xf numFmtId="0" fontId="31" fillId="0" borderId="14" xfId="61" applyFont="1" applyFill="1" applyBorder="1" applyAlignment="1">
      <alignment horizontal="center" vertical="center"/>
      <protection/>
    </xf>
    <xf numFmtId="0" fontId="31" fillId="0" borderId="39" xfId="61" applyFont="1" applyFill="1" applyBorder="1" applyAlignment="1">
      <alignment horizontal="center" vertical="center"/>
      <protection/>
    </xf>
    <xf numFmtId="0" fontId="31" fillId="0" borderId="17" xfId="61" applyFont="1" applyFill="1" applyBorder="1" applyAlignment="1">
      <alignment horizontal="center" vertical="center"/>
      <protection/>
    </xf>
    <xf numFmtId="168" fontId="31" fillId="0" borderId="18" xfId="40" applyNumberFormat="1" applyFont="1" applyFill="1" applyBorder="1" applyAlignment="1" applyProtection="1">
      <alignment horizontal="right" vertical="center"/>
      <protection locked="0"/>
    </xf>
    <xf numFmtId="168" fontId="31" fillId="0" borderId="41" xfId="40" applyNumberFormat="1" applyFont="1" applyFill="1" applyBorder="1" applyAlignment="1" applyProtection="1">
      <alignment horizontal="right" vertical="center"/>
      <protection locked="0"/>
    </xf>
    <xf numFmtId="0" fontId="31" fillId="0" borderId="12" xfId="61" applyFont="1" applyFill="1" applyBorder="1" applyAlignment="1">
      <alignment horizontal="center" vertical="center"/>
      <protection/>
    </xf>
    <xf numFmtId="168" fontId="31" fillId="0" borderId="23" xfId="40" applyNumberFormat="1" applyFont="1" applyFill="1" applyBorder="1" applyAlignment="1" applyProtection="1">
      <alignment horizontal="right" vertical="center"/>
      <protection locked="0"/>
    </xf>
    <xf numFmtId="168" fontId="31" fillId="0" borderId="24" xfId="40" applyNumberFormat="1" applyFont="1" applyFill="1" applyBorder="1" applyAlignment="1" applyProtection="1">
      <alignment horizontal="right" vertical="center"/>
      <protection locked="0"/>
    </xf>
    <xf numFmtId="0" fontId="31" fillId="0" borderId="27" xfId="61" applyFont="1" applyFill="1" applyBorder="1" applyAlignment="1">
      <alignment horizontal="center" vertical="center"/>
      <protection/>
    </xf>
    <xf numFmtId="0" fontId="31" fillId="0" borderId="26" xfId="61" applyFont="1" applyFill="1" applyBorder="1" applyAlignment="1" applyProtection="1">
      <alignment vertical="center" wrapText="1"/>
      <protection locked="0"/>
    </xf>
    <xf numFmtId="168" fontId="31" fillId="0" borderId="26" xfId="40" applyNumberFormat="1" applyFont="1" applyFill="1" applyBorder="1" applyAlignment="1" applyProtection="1">
      <alignment horizontal="right" vertical="center"/>
      <protection locked="0"/>
    </xf>
    <xf numFmtId="168" fontId="31" fillId="0" borderId="52" xfId="40" applyNumberFormat="1" applyFont="1" applyFill="1" applyBorder="1" applyAlignment="1" applyProtection="1">
      <alignment horizontal="right" vertical="center"/>
      <protection locked="0"/>
    </xf>
    <xf numFmtId="0" fontId="48" fillId="0" borderId="14" xfId="61" applyFont="1" applyFill="1" applyBorder="1" applyAlignment="1">
      <alignment vertical="center" wrapText="1"/>
      <protection/>
    </xf>
    <xf numFmtId="168" fontId="31" fillId="0" borderId="14" xfId="61" applyNumberFormat="1" applyFont="1" applyFill="1" applyBorder="1" applyAlignment="1">
      <alignment horizontal="right" vertical="center"/>
      <protection/>
    </xf>
    <xf numFmtId="168" fontId="31" fillId="0" borderId="39" xfId="61" applyNumberFormat="1" applyFont="1" applyFill="1" applyBorder="1" applyAlignment="1">
      <alignment horizontal="right" vertical="center"/>
      <protection/>
    </xf>
    <xf numFmtId="0" fontId="30" fillId="0" borderId="0" xfId="61" applyFont="1" applyFill="1" applyBorder="1" applyAlignment="1">
      <alignment vertical="center" wrapText="1"/>
      <protection/>
    </xf>
    <xf numFmtId="0" fontId="31" fillId="0" borderId="0" xfId="61" applyFont="1" applyFill="1" applyBorder="1" applyAlignment="1" applyProtection="1">
      <alignment vertical="center" wrapText="1"/>
      <protection locked="0"/>
    </xf>
    <xf numFmtId="3" fontId="31" fillId="0" borderId="0" xfId="62" applyNumberFormat="1" applyFill="1" applyProtection="1">
      <alignment/>
      <protection/>
    </xf>
    <xf numFmtId="3" fontId="31" fillId="0" borderId="0" xfId="62" applyNumberFormat="1" applyFill="1" applyAlignment="1" applyProtection="1">
      <alignment wrapText="1"/>
      <protection locked="0"/>
    </xf>
    <xf numFmtId="3" fontId="31" fillId="0" borderId="0" xfId="62" applyNumberFormat="1" applyFill="1" applyProtection="1">
      <alignment/>
      <protection locked="0"/>
    </xf>
    <xf numFmtId="3" fontId="32" fillId="0" borderId="0" xfId="57" applyNumberFormat="1" applyFont="1" applyFill="1" applyAlignment="1">
      <alignment horizontal="right"/>
      <protection/>
    </xf>
    <xf numFmtId="3" fontId="51" fillId="0" borderId="44" xfId="62" applyNumberFormat="1" applyFont="1" applyFill="1" applyBorder="1" applyAlignment="1" applyProtection="1">
      <alignment horizontal="center" vertical="center" wrapText="1"/>
      <protection/>
    </xf>
    <xf numFmtId="3" fontId="51" fillId="0" borderId="38" xfId="62" applyNumberFormat="1" applyFont="1" applyFill="1" applyBorder="1" applyAlignment="1" applyProtection="1">
      <alignment horizontal="center" vertical="center" wrapText="1"/>
      <protection/>
    </xf>
    <xf numFmtId="3" fontId="51" fillId="0" borderId="38" xfId="62" applyNumberFormat="1" applyFont="1" applyFill="1" applyBorder="1" applyAlignment="1" applyProtection="1">
      <alignment horizontal="center" vertical="center"/>
      <protection/>
    </xf>
    <xf numFmtId="3" fontId="51" fillId="0" borderId="49" xfId="62" applyNumberFormat="1" applyFont="1" applyFill="1" applyBorder="1" applyAlignment="1" applyProtection="1">
      <alignment horizontal="center" vertical="center"/>
      <protection/>
    </xf>
    <xf numFmtId="3" fontId="47" fillId="0" borderId="13" xfId="62" applyNumberFormat="1" applyFont="1" applyFill="1" applyBorder="1" applyAlignment="1" applyProtection="1">
      <alignment horizontal="left" vertical="center" indent="1"/>
      <protection/>
    </xf>
    <xf numFmtId="3" fontId="31" fillId="0" borderId="0" xfId="62" applyNumberFormat="1" applyFill="1" applyAlignment="1" applyProtection="1">
      <alignment vertical="center"/>
      <protection/>
    </xf>
    <xf numFmtId="3" fontId="47" fillId="0" borderId="40" xfId="62" applyNumberFormat="1" applyFont="1" applyFill="1" applyBorder="1" applyAlignment="1" applyProtection="1">
      <alignment horizontal="left" vertical="center" indent="1"/>
      <protection/>
    </xf>
    <xf numFmtId="3" fontId="47" fillId="0" borderId="28" xfId="62" applyNumberFormat="1" applyFont="1" applyFill="1" applyBorder="1" applyAlignment="1" applyProtection="1">
      <alignment horizontal="left" vertical="center" wrapText="1"/>
      <protection/>
    </xf>
    <xf numFmtId="3" fontId="47" fillId="0" borderId="28" xfId="62" applyNumberFormat="1" applyFont="1" applyFill="1" applyBorder="1" applyAlignment="1" applyProtection="1">
      <alignment vertical="center"/>
      <protection locked="0"/>
    </xf>
    <xf numFmtId="3" fontId="47" fillId="0" borderId="53" xfId="62" applyNumberFormat="1" applyFont="1" applyFill="1" applyBorder="1" applyAlignment="1" applyProtection="1">
      <alignment vertical="center"/>
      <protection/>
    </xf>
    <xf numFmtId="3" fontId="47" fillId="0" borderId="12" xfId="62" applyNumberFormat="1" applyFont="1" applyFill="1" applyBorder="1" applyAlignment="1" applyProtection="1">
      <alignment horizontal="left" vertical="center" indent="1"/>
      <protection/>
    </xf>
    <xf numFmtId="3" fontId="47" fillId="0" borderId="23" xfId="62" applyNumberFormat="1" applyFont="1" applyFill="1" applyBorder="1" applyAlignment="1" applyProtection="1">
      <alignment horizontal="left" vertical="center" wrapText="1"/>
      <protection/>
    </xf>
    <xf numFmtId="3" fontId="47" fillId="0" borderId="23" xfId="62" applyNumberFormat="1" applyFont="1" applyFill="1" applyBorder="1" applyAlignment="1" applyProtection="1">
      <alignment vertical="center"/>
      <protection locked="0"/>
    </xf>
    <xf numFmtId="3" fontId="47" fillId="0" borderId="24" xfId="62" applyNumberFormat="1" applyFont="1" applyFill="1" applyBorder="1" applyAlignment="1" applyProtection="1">
      <alignment vertical="center"/>
      <protection/>
    </xf>
    <xf numFmtId="3" fontId="31" fillId="0" borderId="0" xfId="62" applyNumberFormat="1" applyFill="1" applyAlignment="1" applyProtection="1">
      <alignment vertical="center"/>
      <protection locked="0"/>
    </xf>
    <xf numFmtId="3" fontId="47" fillId="0" borderId="20" xfId="62" applyNumberFormat="1" applyFont="1" applyFill="1" applyBorder="1" applyAlignment="1" applyProtection="1">
      <alignment horizontal="left" vertical="center" wrapText="1"/>
      <protection/>
    </xf>
    <xf numFmtId="3" fontId="47" fillId="0" borderId="20" xfId="62" applyNumberFormat="1" applyFont="1" applyFill="1" applyBorder="1" applyAlignment="1" applyProtection="1">
      <alignment vertical="center"/>
      <protection locked="0"/>
    </xf>
    <xf numFmtId="3" fontId="51" fillId="0" borderId="14" xfId="62" applyNumberFormat="1" applyFont="1" applyFill="1" applyBorder="1" applyAlignment="1" applyProtection="1">
      <alignment horizontal="left" vertical="center" wrapText="1"/>
      <protection/>
    </xf>
    <xf numFmtId="3" fontId="55" fillId="0" borderId="14" xfId="62" applyNumberFormat="1" applyFont="1" applyFill="1" applyBorder="1" applyAlignment="1" applyProtection="1">
      <alignment vertical="center"/>
      <protection/>
    </xf>
    <xf numFmtId="3" fontId="55" fillId="0" borderId="39" xfId="62" applyNumberFormat="1" applyFont="1" applyFill="1" applyBorder="1" applyAlignment="1" applyProtection="1">
      <alignment vertical="center"/>
      <protection/>
    </xf>
    <xf numFmtId="3" fontId="47" fillId="0" borderId="51" xfId="62" applyNumberFormat="1" applyFont="1" applyFill="1" applyBorder="1" applyAlignment="1" applyProtection="1">
      <alignment vertical="center"/>
      <protection/>
    </xf>
    <xf numFmtId="3" fontId="51" fillId="0" borderId="14" xfId="62" applyNumberFormat="1" applyFont="1" applyFill="1" applyBorder="1" applyAlignment="1" applyProtection="1">
      <alignment horizontal="left" wrapText="1"/>
      <protection/>
    </xf>
    <xf numFmtId="3" fontId="55" fillId="0" borderId="14" xfId="62" applyNumberFormat="1" applyFont="1" applyFill="1" applyBorder="1" applyProtection="1">
      <alignment/>
      <protection/>
    </xf>
    <xf numFmtId="3" fontId="55" fillId="0" borderId="39" xfId="62" applyNumberFormat="1" applyFont="1" applyFill="1" applyBorder="1" applyProtection="1">
      <alignment/>
      <protection/>
    </xf>
    <xf numFmtId="3" fontId="61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wrapText="1"/>
      <protection locked="0"/>
    </xf>
    <xf numFmtId="3" fontId="48" fillId="0" borderId="0" xfId="62" applyNumberFormat="1" applyFont="1" applyFill="1" applyProtection="1">
      <alignment/>
      <protection locked="0"/>
    </xf>
    <xf numFmtId="10" fontId="1" fillId="0" borderId="55" xfId="57" applyNumberFormat="1" applyFont="1" applyBorder="1">
      <alignment/>
      <protection/>
    </xf>
    <xf numFmtId="3" fontId="3" fillId="0" borderId="3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41" fillId="0" borderId="39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3" fontId="7" fillId="0" borderId="52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0" fillId="0" borderId="0" xfId="61" applyNumberFormat="1" applyFont="1" applyFill="1">
      <alignment/>
      <protection/>
    </xf>
    <xf numFmtId="168" fontId="30" fillId="0" borderId="0" xfId="61" applyNumberFormat="1" applyFont="1" applyFill="1">
      <alignment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3" fontId="68" fillId="0" borderId="42" xfId="57" applyNumberFormat="1" applyFont="1" applyBorder="1" applyAlignment="1">
      <alignment horizontal="right"/>
      <protection/>
    </xf>
    <xf numFmtId="0" fontId="68" fillId="0" borderId="56" xfId="57" applyFont="1" applyFill="1" applyBorder="1">
      <alignment/>
      <protection/>
    </xf>
    <xf numFmtId="3" fontId="68" fillId="0" borderId="42" xfId="57" applyNumberFormat="1" applyFont="1" applyFill="1" applyBorder="1">
      <alignment/>
      <protection/>
    </xf>
    <xf numFmtId="0" fontId="12" fillId="1" borderId="73" xfId="58" applyFont="1" applyFill="1" applyBorder="1" applyAlignment="1">
      <alignment horizontal="center" vertical="center" wrapText="1"/>
      <protection/>
    </xf>
    <xf numFmtId="0" fontId="12" fillId="1" borderId="73" xfId="58" applyFont="1" applyFill="1" applyBorder="1" applyAlignment="1">
      <alignment horizontal="center" vertical="center"/>
      <protection/>
    </xf>
    <xf numFmtId="3" fontId="11" fillId="0" borderId="48" xfId="58" applyNumberFormat="1" applyFont="1" applyBorder="1">
      <alignment/>
      <protection/>
    </xf>
    <xf numFmtId="167" fontId="51" fillId="0" borderId="75" xfId="0" applyNumberFormat="1" applyFont="1" applyFill="1" applyBorder="1" applyAlignment="1" applyProtection="1">
      <alignment horizontal="center" vertical="center" wrapText="1"/>
      <protection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6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63" xfId="0" applyNumberFormat="1" applyFont="1" applyFill="1" applyBorder="1" applyAlignment="1" applyProtection="1">
      <alignment horizontal="center" vertical="center" wrapText="1"/>
      <protection/>
    </xf>
    <xf numFmtId="10" fontId="7" fillId="0" borderId="23" xfId="0" applyNumberFormat="1" applyFont="1" applyBorder="1" applyAlignment="1">
      <alignment vertical="center"/>
    </xf>
    <xf numFmtId="10" fontId="7" fillId="0" borderId="23" xfId="0" applyNumberFormat="1" applyFont="1" applyFill="1" applyBorder="1" applyAlignment="1">
      <alignment vertical="center"/>
    </xf>
    <xf numFmtId="10" fontId="7" fillId="0" borderId="28" xfId="0" applyNumberFormat="1" applyFont="1" applyBorder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0" fontId="3" fillId="0" borderId="13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vertical="center"/>
    </xf>
    <xf numFmtId="3" fontId="16" fillId="33" borderId="63" xfId="58" applyNumberFormat="1" applyFont="1" applyFill="1" applyBorder="1" applyAlignment="1">
      <alignment horizontal="center" vertical="center"/>
      <protection/>
    </xf>
    <xf numFmtId="3" fontId="15" fillId="0" borderId="58" xfId="0" applyNumberFormat="1" applyFont="1" applyFill="1" applyBorder="1" applyAlignment="1">
      <alignment horizontal="right" vertical="center"/>
    </xf>
    <xf numFmtId="3" fontId="15" fillId="0" borderId="61" xfId="0" applyNumberFormat="1" applyFont="1" applyFill="1" applyBorder="1" applyAlignment="1">
      <alignment horizontal="right" vertical="center"/>
    </xf>
    <xf numFmtId="3" fontId="15" fillId="0" borderId="58" xfId="0" applyNumberFormat="1" applyFont="1" applyFill="1" applyBorder="1" applyAlignment="1">
      <alignment vertical="center"/>
    </xf>
    <xf numFmtId="3" fontId="15" fillId="0" borderId="58" xfId="58" applyNumberFormat="1" applyFont="1" applyFill="1" applyBorder="1" applyAlignment="1">
      <alignment vertical="center"/>
      <protection/>
    </xf>
    <xf numFmtId="10" fontId="72" fillId="0" borderId="39" xfId="60" applyNumberFormat="1" applyFont="1" applyFill="1" applyBorder="1" applyAlignment="1">
      <alignment vertical="top"/>
      <protection/>
    </xf>
    <xf numFmtId="10" fontId="33" fillId="0" borderId="75" xfId="58" applyNumberFormat="1" applyFont="1" applyBorder="1" applyAlignment="1">
      <alignment horizontal="right" vertical="center" wrapText="1"/>
      <protection/>
    </xf>
    <xf numFmtId="10" fontId="68" fillId="0" borderId="20" xfId="57" applyNumberFormat="1" applyFont="1" applyBorder="1" applyAlignment="1">
      <alignment horizontal="right"/>
      <protection/>
    </xf>
    <xf numFmtId="10" fontId="68" fillId="0" borderId="42" xfId="57" applyNumberFormat="1" applyFont="1" applyBorder="1" applyAlignment="1">
      <alignment horizontal="right"/>
      <protection/>
    </xf>
    <xf numFmtId="10" fontId="68" fillId="0" borderId="14" xfId="57" applyNumberFormat="1" applyFont="1" applyBorder="1" applyAlignment="1">
      <alignment horizontal="right" vertical="center"/>
      <protection/>
    </xf>
    <xf numFmtId="10" fontId="68" fillId="0" borderId="14" xfId="57" applyNumberFormat="1" applyFont="1" applyFill="1" applyBorder="1" applyAlignment="1">
      <alignment vertical="center"/>
      <protection/>
    </xf>
    <xf numFmtId="10" fontId="68" fillId="0" borderId="14" xfId="57" applyNumberFormat="1" applyFont="1" applyFill="1" applyBorder="1">
      <alignment/>
      <protection/>
    </xf>
    <xf numFmtId="10" fontId="68" fillId="0" borderId="23" xfId="57" applyNumberFormat="1" applyFont="1" applyBorder="1">
      <alignment/>
      <protection/>
    </xf>
    <xf numFmtId="10" fontId="68" fillId="0" borderId="26" xfId="57" applyNumberFormat="1" applyFont="1" applyBorder="1">
      <alignment/>
      <protection/>
    </xf>
    <xf numFmtId="10" fontId="3" fillId="33" borderId="14" xfId="0" applyNumberFormat="1" applyFont="1" applyFill="1" applyBorder="1" applyAlignment="1">
      <alignment horizontal="right" vertical="center" wrapText="1"/>
    </xf>
    <xf numFmtId="10" fontId="7" fillId="33" borderId="18" xfId="0" applyNumberFormat="1" applyFont="1" applyFill="1" applyBorder="1" applyAlignment="1">
      <alignment horizontal="right" vertical="center" wrapText="1"/>
    </xf>
    <xf numFmtId="10" fontId="7" fillId="33" borderId="23" xfId="0" applyNumberFormat="1" applyFont="1" applyFill="1" applyBorder="1" applyAlignment="1">
      <alignment horizontal="right" vertical="center" wrapText="1"/>
    </xf>
    <xf numFmtId="10" fontId="7" fillId="33" borderId="12" xfId="0" applyNumberFormat="1" applyFont="1" applyFill="1" applyBorder="1" applyAlignment="1">
      <alignment horizontal="right" vertical="center" wrapText="1"/>
    </xf>
    <xf numFmtId="10" fontId="7" fillId="33" borderId="15" xfId="0" applyNumberFormat="1" applyFont="1" applyFill="1" applyBorder="1" applyAlignment="1">
      <alignment horizontal="right" vertical="center" wrapText="1"/>
    </xf>
    <xf numFmtId="10" fontId="3" fillId="33" borderId="13" xfId="0" applyNumberFormat="1" applyFont="1" applyFill="1" applyBorder="1" applyAlignment="1">
      <alignment horizontal="right" vertical="center" wrapText="1"/>
    </xf>
    <xf numFmtId="10" fontId="7" fillId="33" borderId="20" xfId="0" applyNumberFormat="1" applyFont="1" applyFill="1" applyBorder="1" applyAlignment="1">
      <alignment horizontal="right" vertical="center" wrapText="1"/>
    </xf>
    <xf numFmtId="10" fontId="7" fillId="0" borderId="23" xfId="0" applyNumberFormat="1" applyFont="1" applyFill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15" xfId="0" applyNumberFormat="1" applyFont="1" applyFill="1" applyBorder="1" applyAlignment="1">
      <alignment horizontal="right" vertical="center"/>
    </xf>
    <xf numFmtId="10" fontId="7" fillId="0" borderId="20" xfId="0" applyNumberFormat="1" applyFont="1" applyFill="1" applyBorder="1" applyAlignment="1">
      <alignment horizontal="right" vertical="center"/>
    </xf>
    <xf numFmtId="3" fontId="3" fillId="0" borderId="46" xfId="0" applyNumberFormat="1" applyFont="1" applyFill="1" applyBorder="1" applyAlignment="1">
      <alignment horizontal="center" vertical="center" wrapText="1"/>
    </xf>
    <xf numFmtId="167" fontId="47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5" xfId="0" applyFill="1" applyBorder="1" applyAlignment="1" applyProtection="1">
      <alignment horizontal="right" vertical="center" wrapText="1" indent="1"/>
      <protection/>
    </xf>
    <xf numFmtId="3" fontId="2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45" xfId="0" applyFont="1" applyFill="1" applyBorder="1" applyAlignment="1">
      <alignment horizontal="centerContinuous" vertical="center" wrapText="1"/>
    </xf>
    <xf numFmtId="3" fontId="7" fillId="0" borderId="29" xfId="0" applyNumberFormat="1" applyFont="1" applyFill="1" applyBorder="1" applyAlignment="1">
      <alignment vertical="center"/>
    </xf>
    <xf numFmtId="3" fontId="7" fillId="0" borderId="86" xfId="0" applyNumberFormat="1" applyFont="1" applyBorder="1" applyAlignment="1">
      <alignment vertical="center"/>
    </xf>
    <xf numFmtId="3" fontId="7" fillId="0" borderId="86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85" xfId="0" applyNumberFormat="1" applyFont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41" fillId="0" borderId="45" xfId="0" applyNumberFormat="1" applyFont="1" applyFill="1" applyBorder="1" applyAlignment="1">
      <alignment vertical="center"/>
    </xf>
    <xf numFmtId="0" fontId="4" fillId="0" borderId="85" xfId="0" applyFont="1" applyBorder="1" applyAlignment="1">
      <alignment vertical="center"/>
    </xf>
    <xf numFmtId="3" fontId="7" fillId="0" borderId="89" xfId="0" applyNumberFormat="1" applyFont="1" applyFill="1" applyBorder="1" applyAlignment="1">
      <alignment vertical="center"/>
    </xf>
    <xf numFmtId="3" fontId="7" fillId="33" borderId="86" xfId="0" applyNumberFormat="1" applyFont="1" applyFill="1" applyBorder="1" applyAlignment="1">
      <alignment horizontal="right" vertical="center" wrapText="1"/>
    </xf>
    <xf numFmtId="3" fontId="7" fillId="33" borderId="89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0" borderId="86" xfId="0" applyNumberFormat="1" applyFont="1" applyFill="1" applyBorder="1" applyAlignment="1">
      <alignment horizontal="right" vertical="center"/>
    </xf>
    <xf numFmtId="3" fontId="7" fillId="0" borderId="87" xfId="0" applyNumberFormat="1" applyFont="1" applyFill="1" applyBorder="1" applyAlignment="1">
      <alignment horizontal="right" vertical="center"/>
    </xf>
    <xf numFmtId="3" fontId="7" fillId="0" borderId="89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86" xfId="0" applyNumberFormat="1" applyFont="1" applyFill="1" applyBorder="1" applyAlignment="1">
      <alignment vertical="center"/>
    </xf>
    <xf numFmtId="10" fontId="7" fillId="33" borderId="16" xfId="0" applyNumberFormat="1" applyFont="1" applyFill="1" applyBorder="1" applyAlignment="1">
      <alignment horizontal="right" vertical="center" wrapText="1"/>
    </xf>
    <xf numFmtId="3" fontId="78" fillId="0" borderId="63" xfId="60" applyNumberFormat="1" applyFont="1" applyBorder="1" applyAlignment="1">
      <alignment horizontal="center" vertical="center" wrapText="1"/>
      <protection/>
    </xf>
    <xf numFmtId="3" fontId="80" fillId="0" borderId="64" xfId="60" applyNumberFormat="1" applyFont="1" applyFill="1" applyBorder="1" applyAlignment="1">
      <alignment vertical="top"/>
      <protection/>
    </xf>
    <xf numFmtId="3" fontId="80" fillId="0" borderId="58" xfId="60" applyNumberFormat="1" applyFont="1" applyFill="1" applyBorder="1" applyAlignment="1">
      <alignment vertical="top"/>
      <protection/>
    </xf>
    <xf numFmtId="3" fontId="80" fillId="0" borderId="58" xfId="60" applyNumberFormat="1" applyFont="1" applyFill="1" applyBorder="1">
      <alignment/>
      <protection/>
    </xf>
    <xf numFmtId="3" fontId="80" fillId="0" borderId="66" xfId="60" applyNumberFormat="1" applyFont="1" applyFill="1" applyBorder="1">
      <alignment/>
      <protection/>
    </xf>
    <xf numFmtId="3" fontId="33" fillId="0" borderId="58" xfId="58" applyNumberFormat="1" applyFont="1" applyFill="1" applyBorder="1" applyAlignment="1">
      <alignment vertical="center"/>
      <protection/>
    </xf>
    <xf numFmtId="3" fontId="33" fillId="0" borderId="55" xfId="58" applyNumberFormat="1" applyFont="1" applyFill="1" applyBorder="1" applyAlignment="1">
      <alignment horizontal="right" vertical="center" wrapText="1"/>
      <protection/>
    </xf>
    <xf numFmtId="3" fontId="33" fillId="0" borderId="75" xfId="58" applyNumberFormat="1" applyFont="1" applyFill="1" applyBorder="1" applyAlignment="1">
      <alignment horizontal="right" vertical="center" wrapText="1"/>
      <protection/>
    </xf>
    <xf numFmtId="3" fontId="18" fillId="0" borderId="66" xfId="58" applyNumberFormat="1" applyFont="1" applyBorder="1" applyAlignment="1">
      <alignment horizontal="right"/>
      <protection/>
    </xf>
    <xf numFmtId="0" fontId="12" fillId="1" borderId="32" xfId="58" applyFont="1" applyFill="1" applyBorder="1" applyAlignment="1">
      <alignment horizontal="center" vertical="center"/>
      <protection/>
    </xf>
    <xf numFmtId="0" fontId="3" fillId="0" borderId="54" xfId="0" applyFont="1" applyFill="1" applyBorder="1" applyAlignment="1">
      <alignment horizontal="centerContinuous" vertical="center" wrapText="1"/>
    </xf>
    <xf numFmtId="3" fontId="3" fillId="33" borderId="54" xfId="0" applyNumberFormat="1" applyFont="1" applyFill="1" applyBorder="1" applyAlignment="1">
      <alignment horizontal="right" vertical="center" wrapText="1"/>
    </xf>
    <xf numFmtId="0" fontId="79" fillId="0" borderId="84" xfId="0" applyFont="1" applyBorder="1" applyAlignment="1">
      <alignment vertical="center" wrapText="1"/>
    </xf>
    <xf numFmtId="0" fontId="79" fillId="0" borderId="90" xfId="0" applyFont="1" applyBorder="1" applyAlignment="1">
      <alignment horizontal="center" vertical="center" wrapText="1"/>
    </xf>
    <xf numFmtId="3" fontId="33" fillId="0" borderId="90" xfId="58" applyNumberFormat="1" applyFont="1" applyFill="1" applyBorder="1" applyAlignment="1">
      <alignment vertical="center"/>
      <protection/>
    </xf>
    <xf numFmtId="10" fontId="33" fillId="0" borderId="90" xfId="58" applyNumberFormat="1" applyFont="1" applyBorder="1" applyAlignment="1">
      <alignment horizontal="right" vertical="center" wrapText="1"/>
      <protection/>
    </xf>
    <xf numFmtId="3" fontId="11" fillId="0" borderId="91" xfId="58" applyNumberFormat="1" applyBorder="1" applyAlignment="1">
      <alignment vertical="center"/>
      <protection/>
    </xf>
    <xf numFmtId="3" fontId="15" fillId="0" borderId="0" xfId="58" applyNumberFormat="1" applyFont="1">
      <alignment/>
      <protection/>
    </xf>
    <xf numFmtId="167" fontId="44" fillId="0" borderId="10" xfId="61" applyNumberFormat="1" applyFont="1" applyFill="1" applyBorder="1" applyAlignment="1" applyProtection="1">
      <alignment vertical="center"/>
      <protection/>
    </xf>
    <xf numFmtId="3" fontId="11" fillId="0" borderId="48" xfId="58" applyNumberFormat="1" applyBorder="1" applyAlignment="1">
      <alignment vertical="center"/>
      <protection/>
    </xf>
    <xf numFmtId="0" fontId="68" fillId="0" borderId="22" xfId="57" applyFont="1" applyBorder="1">
      <alignment/>
      <protection/>
    </xf>
    <xf numFmtId="0" fontId="1" fillId="0" borderId="33" xfId="57" applyFont="1" applyFill="1" applyBorder="1">
      <alignment/>
      <protection/>
    </xf>
    <xf numFmtId="3" fontId="1" fillId="0" borderId="26" xfId="57" applyNumberFormat="1" applyFont="1" applyFill="1" applyBorder="1">
      <alignment/>
      <protection/>
    </xf>
    <xf numFmtId="0" fontId="1" fillId="0" borderId="33" xfId="57" applyFont="1" applyBorder="1">
      <alignment/>
      <protection/>
    </xf>
    <xf numFmtId="0" fontId="1" fillId="0" borderId="33" xfId="57" applyFont="1" applyBorder="1" applyAlignment="1">
      <alignment wrapText="1"/>
      <protection/>
    </xf>
    <xf numFmtId="3" fontId="1" fillId="0" borderId="0" xfId="57" applyNumberFormat="1" applyFill="1">
      <alignment/>
      <protection/>
    </xf>
    <xf numFmtId="0" fontId="90" fillId="0" borderId="0" xfId="57" applyFont="1" applyFill="1" applyAlignment="1">
      <alignment horizontal="right"/>
      <protection/>
    </xf>
    <xf numFmtId="10" fontId="68" fillId="0" borderId="42" xfId="57" applyNumberFormat="1" applyFont="1" applyFill="1" applyBorder="1" applyAlignment="1">
      <alignment horizontal="center"/>
      <protection/>
    </xf>
    <xf numFmtId="0" fontId="33" fillId="0" borderId="23" xfId="58" applyFont="1" applyFill="1" applyBorder="1" applyAlignment="1">
      <alignment vertical="center" wrapText="1"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0" fillId="0" borderId="20" xfId="58" applyFont="1" applyFill="1" applyBorder="1" applyAlignment="1">
      <alignment horizontal="left" vertical="center" wrapText="1"/>
      <protection/>
    </xf>
    <xf numFmtId="0" fontId="0" fillId="0" borderId="32" xfId="58" applyFont="1" applyFill="1" applyBorder="1" applyAlignment="1">
      <alignment horizontal="center" vertical="center"/>
      <protection/>
    </xf>
    <xf numFmtId="3" fontId="7" fillId="0" borderId="25" xfId="58" applyNumberFormat="1" applyFont="1" applyFill="1" applyBorder="1" applyAlignment="1">
      <alignment horizontal="right" vertical="center"/>
      <protection/>
    </xf>
    <xf numFmtId="167" fontId="55" fillId="0" borderId="28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28" xfId="61" applyFont="1" applyFill="1" applyBorder="1" applyAlignment="1" applyProtection="1">
      <alignment horizontal="left" vertical="center" wrapText="1" indent="1"/>
      <protection/>
    </xf>
    <xf numFmtId="0" fontId="47" fillId="0" borderId="18" xfId="0" applyFont="1" applyFill="1" applyBorder="1" applyAlignment="1" applyProtection="1">
      <alignment horizontal="left" vertical="center" wrapText="1" indent="1"/>
      <protection/>
    </xf>
    <xf numFmtId="167" fontId="55" fillId="0" borderId="18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8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64" xfId="0" applyNumberFormat="1" applyFont="1" applyFill="1" applyBorder="1" applyAlignment="1" applyProtection="1">
      <alignment horizontal="right" vertical="center" wrapText="1" indent="1"/>
      <protection/>
    </xf>
    <xf numFmtId="10" fontId="55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1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17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23" xfId="0" applyFont="1" applyFill="1" applyBorder="1" applyAlignment="1" applyProtection="1">
      <alignment horizontal="left" vertical="center" wrapText="1" indent="1"/>
      <protection/>
    </xf>
    <xf numFmtId="167" fontId="55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55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55" fillId="0" borderId="27" xfId="0" applyFont="1" applyFill="1" applyBorder="1" applyAlignment="1" applyProtection="1">
      <alignment horizontal="center" vertical="center" wrapText="1"/>
      <protection/>
    </xf>
    <xf numFmtId="0" fontId="47" fillId="0" borderId="26" xfId="0" applyFont="1" applyFill="1" applyBorder="1" applyAlignment="1" applyProtection="1">
      <alignment horizontal="left" vertical="center" wrapText="1" indent="1"/>
      <protection/>
    </xf>
    <xf numFmtId="167" fontId="55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6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55" xfId="0" applyNumberFormat="1" applyFont="1" applyFill="1" applyBorder="1" applyAlignment="1" applyProtection="1">
      <alignment horizontal="right" vertical="center" wrapText="1" indent="1"/>
      <protection/>
    </xf>
    <xf numFmtId="10" fontId="55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27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87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86" xfId="0" applyNumberFormat="1" applyFont="1" applyFill="1" applyBorder="1" applyAlignment="1" applyProtection="1">
      <alignment horizontal="right" vertical="center" wrapText="1" indent="1"/>
      <protection/>
    </xf>
    <xf numFmtId="0" fontId="55" fillId="0" borderId="66" xfId="0" applyFont="1" applyFill="1" applyBorder="1" applyAlignment="1" applyProtection="1">
      <alignment horizontal="left" vertical="center" wrapText="1" indent="1"/>
      <protection/>
    </xf>
    <xf numFmtId="167" fontId="55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66" xfId="0" applyNumberFormat="1" applyFont="1" applyFill="1" applyBorder="1" applyAlignment="1" applyProtection="1">
      <alignment horizontal="right" vertical="center" wrapText="1" indent="1"/>
      <protection/>
    </xf>
    <xf numFmtId="10" fontId="55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89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15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16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64" xfId="0" applyFont="1" applyFill="1" applyBorder="1" applyAlignment="1" applyProtection="1">
      <alignment horizontal="left" vertical="center" wrapText="1" indent="1"/>
      <protection/>
    </xf>
    <xf numFmtId="0" fontId="47" fillId="0" borderId="58" xfId="0" applyFont="1" applyFill="1" applyBorder="1" applyAlignment="1" applyProtection="1">
      <alignment horizontal="left" vertical="center" wrapText="1" indent="1"/>
      <protection/>
    </xf>
    <xf numFmtId="0" fontId="47" fillId="0" borderId="55" xfId="0" applyFont="1" applyFill="1" applyBorder="1" applyAlignment="1" applyProtection="1">
      <alignment horizontal="left" vertical="center" wrapText="1" indent="1"/>
      <protection/>
    </xf>
    <xf numFmtId="167" fontId="47" fillId="0" borderId="17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55" fillId="0" borderId="22" xfId="0" applyFont="1" applyFill="1" applyBorder="1" applyAlignment="1" applyProtection="1">
      <alignment horizontal="center" vertical="center" wrapText="1"/>
      <protection/>
    </xf>
    <xf numFmtId="0" fontId="46" fillId="0" borderId="15" xfId="0" applyFont="1" applyFill="1" applyBorder="1" applyAlignment="1" applyProtection="1">
      <alignment horizontal="center" vertical="center" wrapText="1"/>
      <protection/>
    </xf>
    <xf numFmtId="3" fontId="7" fillId="0" borderId="20" xfId="0" applyNumberFormat="1" applyFont="1" applyFill="1" applyBorder="1" applyAlignment="1">
      <alignment horizontal="righ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59" xfId="0" applyFont="1" applyBorder="1" applyAlignment="1">
      <alignment horizontal="left" wrapText="1"/>
    </xf>
    <xf numFmtId="0" fontId="7" fillId="0" borderId="71" xfId="0" applyFont="1" applyBorder="1" applyAlignment="1">
      <alignment horizontal="left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left" wrapText="1"/>
    </xf>
    <xf numFmtId="0" fontId="7" fillId="0" borderId="68" xfId="0" applyFont="1" applyBorder="1" applyAlignment="1">
      <alignment horizontal="left" wrapText="1"/>
    </xf>
    <xf numFmtId="0" fontId="45" fillId="0" borderId="23" xfId="61" applyFont="1" applyFill="1" applyBorder="1" applyAlignment="1">
      <alignment horizontal="left"/>
      <protection/>
    </xf>
    <xf numFmtId="0" fontId="48" fillId="0" borderId="0" xfId="61" applyFont="1" applyFill="1" applyBorder="1" applyAlignment="1">
      <alignment horizontal="center" wrapText="1"/>
      <protection/>
    </xf>
    <xf numFmtId="0" fontId="28" fillId="0" borderId="54" xfId="61" applyFont="1" applyFill="1" applyBorder="1" applyAlignment="1" applyProtection="1">
      <alignment horizontal="left" vertical="center" wrapText="1"/>
      <protection/>
    </xf>
    <xf numFmtId="0" fontId="28" fillId="0" borderId="35" xfId="61" applyFont="1" applyFill="1" applyBorder="1" applyAlignment="1" applyProtection="1">
      <alignment horizontal="left" vertical="center" wrapText="1"/>
      <protection/>
    </xf>
    <xf numFmtId="0" fontId="28" fillId="0" borderId="45" xfId="61" applyFont="1" applyFill="1" applyBorder="1" applyAlignment="1" applyProtection="1">
      <alignment horizontal="left" vertical="center" wrapText="1"/>
      <protection/>
    </xf>
    <xf numFmtId="167" fontId="62" fillId="0" borderId="0" xfId="61" applyNumberFormat="1" applyFont="1" applyFill="1" applyBorder="1" applyAlignment="1" applyProtection="1">
      <alignment horizontal="left" vertical="center"/>
      <protection/>
    </xf>
    <xf numFmtId="0" fontId="30" fillId="0" borderId="58" xfId="61" applyFont="1" applyFill="1" applyBorder="1" applyAlignment="1" applyProtection="1">
      <alignment horizontal="left" vertical="center" wrapText="1"/>
      <protection/>
    </xf>
    <xf numFmtId="0" fontId="30" fillId="0" borderId="31" xfId="61" applyFont="1" applyFill="1" applyBorder="1" applyAlignment="1" applyProtection="1">
      <alignment horizontal="left" vertical="center" wrapText="1"/>
      <protection/>
    </xf>
    <xf numFmtId="0" fontId="30" fillId="0" borderId="86" xfId="61" applyFont="1" applyFill="1" applyBorder="1" applyAlignment="1" applyProtection="1">
      <alignment horizontal="left" vertical="center" wrapText="1"/>
      <protection/>
    </xf>
    <xf numFmtId="0" fontId="30" fillId="0" borderId="65" xfId="61" applyFont="1" applyFill="1" applyBorder="1" applyAlignment="1" applyProtection="1">
      <alignment horizontal="left" vertical="center" wrapText="1"/>
      <protection/>
    </xf>
    <xf numFmtId="0" fontId="30" fillId="0" borderId="10" xfId="61" applyFont="1" applyFill="1" applyBorder="1" applyAlignment="1" applyProtection="1">
      <alignment horizontal="left" vertical="center" wrapText="1"/>
      <protection/>
    </xf>
    <xf numFmtId="0" fontId="30" fillId="0" borderId="88" xfId="61" applyFont="1" applyFill="1" applyBorder="1" applyAlignment="1" applyProtection="1">
      <alignment horizontal="left" vertical="center" wrapText="1"/>
      <protection/>
    </xf>
    <xf numFmtId="0" fontId="30" fillId="0" borderId="64" xfId="61" applyFont="1" applyFill="1" applyBorder="1" applyAlignment="1" applyProtection="1">
      <alignment horizontal="left" vertical="center" wrapText="1"/>
      <protection/>
    </xf>
    <xf numFmtId="0" fontId="30" fillId="0" borderId="47" xfId="61" applyFont="1" applyFill="1" applyBorder="1" applyAlignment="1" applyProtection="1">
      <alignment horizontal="left" vertical="center" wrapText="1"/>
      <protection/>
    </xf>
    <xf numFmtId="0" fontId="30" fillId="0" borderId="87" xfId="61" applyFont="1" applyFill="1" applyBorder="1" applyAlignment="1" applyProtection="1">
      <alignment horizontal="left" vertical="center" wrapText="1"/>
      <protection/>
    </xf>
    <xf numFmtId="0" fontId="45" fillId="0" borderId="15" xfId="61" applyFont="1" applyFill="1" applyBorder="1" applyAlignment="1">
      <alignment horizontal="left"/>
      <protection/>
    </xf>
    <xf numFmtId="0" fontId="30" fillId="0" borderId="66" xfId="61" applyFont="1" applyFill="1" applyBorder="1" applyAlignment="1" applyProtection="1">
      <alignment horizontal="left" vertical="center" wrapText="1"/>
      <protection/>
    </xf>
    <xf numFmtId="0" fontId="30" fillId="0" borderId="59" xfId="61" applyFont="1" applyFill="1" applyBorder="1" applyAlignment="1" applyProtection="1">
      <alignment horizontal="left" vertical="center" wrapText="1"/>
      <protection/>
    </xf>
    <xf numFmtId="0" fontId="30" fillId="0" borderId="89" xfId="61" applyFont="1" applyFill="1" applyBorder="1" applyAlignment="1" applyProtection="1">
      <alignment horizontal="left" vertical="center" wrapText="1"/>
      <protection/>
    </xf>
    <xf numFmtId="0" fontId="28" fillId="0" borderId="18" xfId="61" applyFont="1" applyFill="1" applyBorder="1" applyAlignment="1">
      <alignment horizontal="left"/>
      <protection/>
    </xf>
    <xf numFmtId="0" fontId="30" fillId="0" borderId="23" xfId="61" applyFont="1" applyFill="1" applyBorder="1" applyAlignment="1">
      <alignment horizontal="left"/>
      <protection/>
    </xf>
    <xf numFmtId="0" fontId="48" fillId="0" borderId="0" xfId="61" applyFont="1" applyFill="1" applyAlignment="1">
      <alignment horizontal="center" wrapText="1"/>
      <protection/>
    </xf>
    <xf numFmtId="0" fontId="62" fillId="0" borderId="0" xfId="61" applyFont="1" applyFill="1" applyBorder="1" applyAlignment="1">
      <alignment horizontal="left"/>
      <protection/>
    </xf>
    <xf numFmtId="0" fontId="48" fillId="0" borderId="0" xfId="61" applyFont="1" applyFill="1" applyAlignment="1">
      <alignment horizontal="center"/>
      <protection/>
    </xf>
    <xf numFmtId="0" fontId="7" fillId="0" borderId="31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49" fontId="7" fillId="0" borderId="55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 wrapText="1"/>
    </xf>
    <xf numFmtId="49" fontId="3" fillId="0" borderId="60" xfId="0" applyNumberFormat="1" applyFont="1" applyBorder="1" applyAlignment="1">
      <alignment horizontal="center" vertical="center"/>
    </xf>
    <xf numFmtId="167" fontId="62" fillId="0" borderId="10" xfId="61" applyNumberFormat="1" applyFont="1" applyFill="1" applyBorder="1" applyAlignment="1" applyProtection="1">
      <alignment horizontal="left" vertical="center"/>
      <protection/>
    </xf>
    <xf numFmtId="0" fontId="10" fillId="0" borderId="0" xfId="58" applyFont="1" applyAlignment="1">
      <alignment horizontal="right"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167" fontId="64" fillId="0" borderId="0" xfId="0" applyNumberFormat="1" applyFont="1" applyFill="1" applyAlignment="1">
      <alignment horizontal="right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51" fillId="0" borderId="54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5" fillId="0" borderId="64" xfId="59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68" xfId="0" applyBorder="1" applyAlignment="1">
      <alignment/>
    </xf>
    <xf numFmtId="1" fontId="36" fillId="0" borderId="11" xfId="59" applyNumberFormat="1" applyFont="1" applyBorder="1" applyAlignment="1">
      <alignment horizontal="center" vertical="center" wrapText="1"/>
      <protection/>
    </xf>
    <xf numFmtId="1" fontId="36" fillId="0" borderId="35" xfId="59" applyNumberFormat="1" applyFont="1" applyBorder="1" applyAlignment="1">
      <alignment horizontal="center" vertical="center" wrapText="1"/>
      <protection/>
    </xf>
    <xf numFmtId="1" fontId="36" fillId="0" borderId="46" xfId="59" applyNumberFormat="1" applyFont="1" applyBorder="1" applyAlignment="1">
      <alignment horizontal="center" vertical="center" wrapText="1"/>
      <protection/>
    </xf>
    <xf numFmtId="0" fontId="37" fillId="0" borderId="0" xfId="59" applyFont="1" applyAlignment="1">
      <alignment horizontal="center" vertical="center"/>
      <protection/>
    </xf>
    <xf numFmtId="0" fontId="25" fillId="0" borderId="44" xfId="59" applyFont="1" applyBorder="1" applyAlignment="1">
      <alignment horizontal="center" vertical="center" wrapText="1"/>
      <protection/>
    </xf>
    <xf numFmtId="0" fontId="25" fillId="0" borderId="36" xfId="59" applyFont="1" applyBorder="1" applyAlignment="1">
      <alignment horizontal="center" vertical="center" wrapText="1"/>
      <protection/>
    </xf>
    <xf numFmtId="0" fontId="37" fillId="0" borderId="17" xfId="59" applyFont="1" applyBorder="1" applyAlignment="1">
      <alignment horizontal="center" vertical="center" wrapText="1"/>
      <protection/>
    </xf>
    <xf numFmtId="0" fontId="37" fillId="0" borderId="41" xfId="59" applyFont="1" applyBorder="1" applyAlignment="1">
      <alignment horizontal="center" vertical="center" wrapText="1"/>
      <protection/>
    </xf>
    <xf numFmtId="0" fontId="66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16" fontId="35" fillId="0" borderId="0" xfId="59" applyNumberFormat="1" applyFont="1" applyBorder="1" applyAlignment="1">
      <alignment horizontal="center" vertical="center" wrapText="1"/>
      <protection/>
    </xf>
    <xf numFmtId="0" fontId="25" fillId="0" borderId="77" xfId="59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>
      <alignment horizontal="left" vertical="center"/>
      <protection/>
    </xf>
    <xf numFmtId="0" fontId="25" fillId="0" borderId="35" xfId="59" applyFont="1" applyBorder="1" applyAlignment="1">
      <alignment horizontal="left" vertical="center"/>
      <protection/>
    </xf>
    <xf numFmtId="0" fontId="25" fillId="0" borderId="45" xfId="59" applyFont="1" applyBorder="1" applyAlignment="1">
      <alignment horizontal="left" vertical="center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35" xfId="58" applyNumberFormat="1" applyFont="1" applyFill="1" applyBorder="1" applyAlignment="1">
      <alignment horizontal="center" vertical="center"/>
      <protection/>
    </xf>
    <xf numFmtId="3" fontId="16" fillId="33" borderId="46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54" xfId="58" applyFont="1" applyFill="1" applyBorder="1" applyAlignment="1">
      <alignment horizontal="center" vertical="center"/>
      <protection/>
    </xf>
    <xf numFmtId="0" fontId="16" fillId="33" borderId="39" xfId="58" applyFont="1" applyFill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5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35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45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3" fontId="17" fillId="0" borderId="0" xfId="58" applyNumberFormat="1" applyFont="1" applyAlignment="1">
      <alignment horizontal="right"/>
      <protection/>
    </xf>
    <xf numFmtId="0" fontId="76" fillId="0" borderId="0" xfId="58" applyFont="1" applyAlignment="1">
      <alignment horizontal="center"/>
      <protection/>
    </xf>
    <xf numFmtId="0" fontId="77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66" fontId="78" fillId="0" borderId="35" xfId="60" applyNumberFormat="1" applyFont="1" applyBorder="1" applyAlignment="1">
      <alignment horizontal="center" vertical="center" wrapText="1"/>
      <protection/>
    </xf>
    <xf numFmtId="3" fontId="78" fillId="0" borderId="13" xfId="60" applyNumberFormat="1" applyFont="1" applyBorder="1" applyAlignment="1">
      <alignment horizontal="center" vertical="center" wrapText="1"/>
      <protection/>
    </xf>
    <xf numFmtId="3" fontId="78" fillId="0" borderId="14" xfId="60" applyNumberFormat="1" applyFont="1" applyBorder="1" applyAlignment="1">
      <alignment horizontal="center" vertical="center" wrapText="1"/>
      <protection/>
    </xf>
    <xf numFmtId="3" fontId="78" fillId="0" borderId="54" xfId="60" applyNumberFormat="1" applyFont="1" applyBorder="1" applyAlignment="1">
      <alignment horizontal="center" vertical="center" wrapText="1"/>
      <protection/>
    </xf>
    <xf numFmtId="3" fontId="78" fillId="0" borderId="39" xfId="60" applyNumberFormat="1" applyFont="1" applyBorder="1" applyAlignment="1">
      <alignment horizontal="center" vertical="center" wrapText="1"/>
      <protection/>
    </xf>
    <xf numFmtId="0" fontId="79" fillId="0" borderId="47" xfId="60" applyFont="1" applyFill="1" applyBorder="1" applyAlignment="1">
      <alignment horizontal="left"/>
      <protection/>
    </xf>
    <xf numFmtId="0" fontId="79" fillId="0" borderId="31" xfId="60" applyFont="1" applyFill="1" applyBorder="1" applyAlignment="1">
      <alignment horizontal="left"/>
      <protection/>
    </xf>
    <xf numFmtId="0" fontId="81" fillId="0" borderId="35" xfId="60" applyFont="1" applyBorder="1" applyAlignment="1">
      <alignment horizontal="center" vertical="center" wrapText="1"/>
      <protection/>
    </xf>
    <xf numFmtId="0" fontId="79" fillId="0" borderId="58" xfId="60" applyFont="1" applyFill="1" applyBorder="1" applyAlignment="1">
      <alignment horizontal="left" vertical="center" wrapText="1"/>
      <protection/>
    </xf>
    <xf numFmtId="0" fontId="79" fillId="0" borderId="31" xfId="60" applyFont="1" applyFill="1" applyBorder="1" applyAlignment="1">
      <alignment horizontal="left" vertical="center" wrapText="1"/>
      <protection/>
    </xf>
    <xf numFmtId="166" fontId="79" fillId="0" borderId="31" xfId="60" applyNumberFormat="1" applyFont="1" applyBorder="1" applyAlignment="1">
      <alignment horizontal="left" wrapText="1"/>
      <protection/>
    </xf>
    <xf numFmtId="166" fontId="79" fillId="0" borderId="58" xfId="60" applyNumberFormat="1" applyFont="1" applyBorder="1" applyAlignment="1">
      <alignment horizontal="left" wrapText="1"/>
      <protection/>
    </xf>
    <xf numFmtId="166" fontId="79" fillId="0" borderId="66" xfId="60" applyNumberFormat="1" applyFont="1" applyBorder="1" applyAlignment="1">
      <alignment horizontal="left" wrapText="1"/>
      <protection/>
    </xf>
    <xf numFmtId="166" fontId="79" fillId="0" borderId="59" xfId="60" applyNumberFormat="1" applyFont="1" applyBorder="1" applyAlignment="1">
      <alignment horizontal="left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82" fillId="0" borderId="0" xfId="58" applyFont="1" applyAlignment="1">
      <alignment horizontal="center" vertical="center" wrapText="1"/>
      <protection/>
    </xf>
    <xf numFmtId="0" fontId="82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80" fillId="0" borderId="0" xfId="58" applyFont="1" applyAlignment="1">
      <alignment horizontal="center" vertical="center"/>
      <protection/>
    </xf>
    <xf numFmtId="0" fontId="24" fillId="34" borderId="77" xfId="58" applyFont="1" applyFill="1" applyBorder="1" applyAlignment="1">
      <alignment horizontal="center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4" fillId="34" borderId="84" xfId="58" applyFont="1" applyFill="1" applyBorder="1" applyAlignment="1">
      <alignment horizontal="center" vertical="center" wrapText="1"/>
      <protection/>
    </xf>
    <xf numFmtId="0" fontId="24" fillId="34" borderId="38" xfId="58" applyFont="1" applyFill="1" applyBorder="1" applyAlignment="1">
      <alignment horizontal="center" vertical="center" wrapText="1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24" fillId="34" borderId="92" xfId="58" applyFont="1" applyFill="1" applyBorder="1" applyAlignment="1">
      <alignment horizontal="center" vertical="center" wrapText="1"/>
      <protection/>
    </xf>
    <xf numFmtId="3" fontId="24" fillId="34" borderId="63" xfId="58" applyNumberFormat="1" applyFont="1" applyFill="1" applyBorder="1" applyAlignment="1">
      <alignment horizontal="center" vertical="center" wrapText="1"/>
      <protection/>
    </xf>
    <xf numFmtId="3" fontId="24" fillId="34" borderId="60" xfId="58" applyNumberFormat="1" applyFont="1" applyFill="1" applyBorder="1" applyAlignment="1">
      <alignment horizontal="center" vertical="center" wrapText="1"/>
      <protection/>
    </xf>
    <xf numFmtId="3" fontId="24" fillId="34" borderId="50" xfId="58" applyNumberFormat="1" applyFont="1" applyFill="1" applyBorder="1" applyAlignment="1">
      <alignment horizontal="center" vertical="center" wrapText="1"/>
      <protection/>
    </xf>
    <xf numFmtId="3" fontId="24" fillId="34" borderId="75" xfId="58" applyNumberFormat="1" applyFont="1" applyFill="1" applyBorder="1" applyAlignment="1">
      <alignment horizontal="center" vertical="center" wrapText="1"/>
      <protection/>
    </xf>
    <xf numFmtId="3" fontId="24" fillId="34" borderId="0" xfId="58" applyNumberFormat="1" applyFont="1" applyFill="1" applyBorder="1" applyAlignment="1">
      <alignment horizontal="center" vertical="center" wrapText="1"/>
      <protection/>
    </xf>
    <xf numFmtId="3" fontId="24" fillId="34" borderId="85" xfId="58" applyNumberFormat="1" applyFont="1" applyFill="1" applyBorder="1" applyAlignment="1">
      <alignment horizontal="center" vertical="center" wrapText="1"/>
      <protection/>
    </xf>
    <xf numFmtId="3" fontId="24" fillId="34" borderId="93" xfId="58" applyNumberFormat="1" applyFont="1" applyFill="1" applyBorder="1" applyAlignment="1">
      <alignment horizontal="center" vertical="center" wrapText="1"/>
      <protection/>
    </xf>
    <xf numFmtId="3" fontId="24" fillId="34" borderId="94" xfId="58" applyNumberFormat="1" applyFont="1" applyFill="1" applyBorder="1" applyAlignment="1">
      <alignment horizontal="center" vertical="center" wrapText="1"/>
      <protection/>
    </xf>
    <xf numFmtId="3" fontId="24" fillId="34" borderId="95" xfId="58" applyNumberFormat="1" applyFont="1" applyFill="1" applyBorder="1" applyAlignment="1">
      <alignment horizontal="center" vertical="center" wrapText="1"/>
      <protection/>
    </xf>
    <xf numFmtId="3" fontId="24" fillId="34" borderId="67" xfId="58" applyNumberFormat="1" applyFont="1" applyFill="1" applyBorder="1" applyAlignment="1">
      <alignment horizontal="center" vertical="center" wrapText="1"/>
      <protection/>
    </xf>
    <xf numFmtId="3" fontId="24" fillId="34" borderId="76" xfId="58" applyNumberFormat="1" applyFont="1" applyFill="1" applyBorder="1" applyAlignment="1">
      <alignment horizontal="center" vertical="center" wrapText="1"/>
      <protection/>
    </xf>
    <xf numFmtId="3" fontId="24" fillId="34" borderId="96" xfId="58" applyNumberFormat="1" applyFont="1" applyFill="1" applyBorder="1" applyAlignment="1">
      <alignment horizontal="center" vertical="center" wrapText="1"/>
      <protection/>
    </xf>
    <xf numFmtId="0" fontId="82" fillId="0" borderId="10" xfId="58" applyFont="1" applyBorder="1" applyAlignment="1">
      <alignment horizontal="center" vertical="center" wrapText="1"/>
      <protection/>
    </xf>
    <xf numFmtId="0" fontId="19" fillId="0" borderId="0" xfId="58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2" fillId="1" borderId="44" xfId="58" applyFont="1" applyFill="1" applyBorder="1" applyAlignment="1">
      <alignment horizontal="center" vertical="center" wrapText="1"/>
      <protection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64" xfId="58" applyFont="1" applyFill="1" applyBorder="1" applyAlignment="1">
      <alignment horizontal="center" vertical="center"/>
      <protection/>
    </xf>
    <xf numFmtId="0" fontId="12" fillId="1" borderId="47" xfId="58" applyFont="1" applyFill="1" applyBorder="1" applyAlignment="1">
      <alignment horizontal="center" vertical="center"/>
      <protection/>
    </xf>
    <xf numFmtId="0" fontId="12" fillId="1" borderId="17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41" xfId="58" applyFont="1" applyFill="1" applyBorder="1" applyAlignment="1">
      <alignment horizontal="center" vertical="center"/>
      <protection/>
    </xf>
    <xf numFmtId="0" fontId="12" fillId="1" borderId="58" xfId="58" applyFont="1" applyFill="1" applyBorder="1" applyAlignment="1">
      <alignment horizontal="center" vertical="center"/>
      <protection/>
    </xf>
    <xf numFmtId="0" fontId="12" fillId="1" borderId="31" xfId="58" applyFont="1" applyFill="1" applyBorder="1" applyAlignment="1">
      <alignment horizontal="center" vertical="center"/>
      <protection/>
    </xf>
    <xf numFmtId="0" fontId="12" fillId="1" borderId="86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2" fillId="1" borderId="23" xfId="58" applyFont="1" applyFill="1" applyBorder="1" applyAlignment="1">
      <alignment horizontal="center" vertical="center"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4" fillId="0" borderId="0" xfId="58" applyFont="1" applyAlignment="1">
      <alignment horizontal="center" wrapText="1"/>
      <protection/>
    </xf>
    <xf numFmtId="0" fontId="44" fillId="0" borderId="0" xfId="61" applyFont="1" applyFill="1" applyAlignment="1">
      <alignment horizontal="right"/>
      <protection/>
    </xf>
    <xf numFmtId="167" fontId="87" fillId="0" borderId="0" xfId="61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right"/>
      <protection/>
    </xf>
    <xf numFmtId="0" fontId="48" fillId="0" borderId="17" xfId="61" applyFont="1" applyFill="1" applyBorder="1" applyAlignment="1">
      <alignment horizontal="center" vertical="center" wrapText="1"/>
      <protection/>
    </xf>
    <xf numFmtId="0" fontId="48" fillId="0" borderId="27" xfId="61" applyFont="1" applyFill="1" applyBorder="1" applyAlignment="1">
      <alignment horizontal="center" vertical="center" wrapText="1"/>
      <protection/>
    </xf>
    <xf numFmtId="0" fontId="48" fillId="0" borderId="18" xfId="61" applyFont="1" applyFill="1" applyBorder="1" applyAlignment="1">
      <alignment horizontal="center" vertical="center" wrapText="1"/>
      <protection/>
    </xf>
    <xf numFmtId="0" fontId="48" fillId="0" borderId="26" xfId="61" applyFont="1" applyFill="1" applyBorder="1" applyAlignment="1">
      <alignment horizontal="center" vertical="center" wrapText="1"/>
      <protection/>
    </xf>
    <xf numFmtId="0" fontId="48" fillId="0" borderId="64" xfId="61" applyFont="1" applyFill="1" applyBorder="1" applyAlignment="1">
      <alignment horizontal="center" vertical="center" wrapText="1"/>
      <protection/>
    </xf>
    <xf numFmtId="0" fontId="48" fillId="0" borderId="47" xfId="61" applyFont="1" applyFill="1" applyBorder="1" applyAlignment="1">
      <alignment horizontal="center" vertical="center" wrapText="1"/>
      <protection/>
    </xf>
    <xf numFmtId="0" fontId="48" fillId="0" borderId="68" xfId="61" applyFont="1" applyFill="1" applyBorder="1" applyAlignment="1">
      <alignment horizontal="center" vertical="center" wrapText="1"/>
      <protection/>
    </xf>
    <xf numFmtId="0" fontId="48" fillId="0" borderId="13" xfId="61" applyFont="1" applyFill="1" applyBorder="1" applyAlignment="1" applyProtection="1">
      <alignment horizontal="left" vertical="center"/>
      <protection/>
    </xf>
    <xf numFmtId="0" fontId="48" fillId="0" borderId="14" xfId="61" applyFont="1" applyFill="1" applyBorder="1" applyAlignment="1" applyProtection="1">
      <alignment horizontal="left" vertical="center"/>
      <protection/>
    </xf>
    <xf numFmtId="0" fontId="47" fillId="0" borderId="60" xfId="61" applyFont="1" applyFill="1" applyBorder="1" applyAlignment="1">
      <alignment horizontal="justify" vertical="center" wrapText="1"/>
      <protection/>
    </xf>
    <xf numFmtId="167" fontId="85" fillId="0" borderId="0" xfId="61" applyNumberFormat="1" applyFont="1" applyFill="1" applyBorder="1" applyAlignment="1" applyProtection="1">
      <alignment horizontal="center" vertical="center" wrapText="1"/>
      <protection/>
    </xf>
    <xf numFmtId="0" fontId="44" fillId="0" borderId="0" xfId="61" applyFont="1" applyFill="1" applyAlignment="1">
      <alignment horizontal="center" vertical="center"/>
      <protection/>
    </xf>
    <xf numFmtId="3" fontId="89" fillId="0" borderId="0" xfId="62" applyNumberFormat="1" applyFont="1" applyFill="1" applyAlignment="1" applyProtection="1">
      <alignment horizontal="center"/>
      <protection locked="0"/>
    </xf>
    <xf numFmtId="3" fontId="48" fillId="0" borderId="0" xfId="62" applyNumberFormat="1" applyFont="1" applyFill="1" applyAlignment="1" applyProtection="1">
      <alignment horizontal="center" wrapText="1"/>
      <protection/>
    </xf>
    <xf numFmtId="3" fontId="48" fillId="0" borderId="0" xfId="62" applyNumberFormat="1" applyFont="1" applyFill="1" applyAlignment="1" applyProtection="1">
      <alignment horizontal="center"/>
      <protection/>
    </xf>
    <xf numFmtId="3" fontId="62" fillId="0" borderId="54" xfId="62" applyNumberFormat="1" applyFont="1" applyFill="1" applyBorder="1" applyAlignment="1" applyProtection="1">
      <alignment horizontal="left" vertical="center" indent="1"/>
      <protection/>
    </xf>
    <xf numFmtId="3" fontId="62" fillId="0" borderId="35" xfId="62" applyNumberFormat="1" applyFont="1" applyFill="1" applyBorder="1" applyAlignment="1" applyProtection="1">
      <alignment horizontal="left" vertical="center" indent="1"/>
      <protection/>
    </xf>
    <xf numFmtId="3" fontId="62" fillId="0" borderId="46" xfId="62" applyNumberFormat="1" applyFont="1" applyFill="1" applyBorder="1" applyAlignment="1" applyProtection="1">
      <alignment horizontal="left" vertical="center" indent="1"/>
      <protection/>
    </xf>
    <xf numFmtId="0" fontId="71" fillId="0" borderId="0" xfId="57" applyFont="1" applyFill="1" applyAlignment="1">
      <alignment horizontal="right" vertical="center"/>
      <protection/>
    </xf>
    <xf numFmtId="3" fontId="68" fillId="0" borderId="38" xfId="57" applyNumberFormat="1" applyFont="1" applyBorder="1" applyAlignment="1">
      <alignment horizontal="center"/>
      <protection/>
    </xf>
    <xf numFmtId="3" fontId="68" fillId="0" borderId="28" xfId="57" applyNumberFormat="1" applyFont="1" applyBorder="1" applyAlignment="1">
      <alignment horizont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26" xfId="57" applyNumberFormat="1" applyFont="1" applyFill="1" applyBorder="1" applyAlignment="1">
      <alignment horizontal="center"/>
      <protection/>
    </xf>
    <xf numFmtId="3" fontId="1" fillId="0" borderId="28" xfId="57" applyNumberFormat="1" applyFont="1" applyFill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52" xfId="57" applyNumberFormat="1" applyFont="1" applyFill="1" applyBorder="1" applyAlignment="1">
      <alignment horizontal="center"/>
      <protection/>
    </xf>
    <xf numFmtId="10" fontId="1" fillId="0" borderId="53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3" fontId="68" fillId="0" borderId="38" xfId="57" applyNumberFormat="1" applyFont="1" applyFill="1" applyBorder="1" applyAlignment="1">
      <alignment horizontal="center" vertical="center"/>
      <protection/>
    </xf>
    <xf numFmtId="3" fontId="68" fillId="0" borderId="28" xfId="57" applyNumberFormat="1" applyFont="1" applyFill="1" applyBorder="1" applyAlignment="1">
      <alignment horizontal="center" vertical="center"/>
      <protection/>
    </xf>
    <xf numFmtId="10" fontId="68" fillId="0" borderId="49" xfId="57" applyNumberFormat="1" applyFont="1" applyFill="1" applyBorder="1" applyAlignment="1">
      <alignment horizontal="center" vertical="center"/>
      <protection/>
    </xf>
    <xf numFmtId="10" fontId="68" fillId="0" borderId="53" xfId="57" applyNumberFormat="1" applyFont="1" applyFill="1" applyBorder="1" applyAlignment="1">
      <alignment horizontal="center" vertical="center"/>
      <protection/>
    </xf>
    <xf numFmtId="10" fontId="68" fillId="0" borderId="49" xfId="57" applyNumberFormat="1" applyFont="1" applyBorder="1" applyAlignment="1">
      <alignment horizontal="center"/>
      <protection/>
    </xf>
    <xf numFmtId="10" fontId="68" fillId="0" borderId="53" xfId="57" applyNumberFormat="1" applyFont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10" fontId="1" fillId="0" borderId="26" xfId="57" applyNumberFormat="1" applyFont="1" applyBorder="1" applyAlignment="1">
      <alignment horizontal="center"/>
      <protection/>
    </xf>
    <xf numFmtId="10" fontId="1" fillId="0" borderId="28" xfId="57" applyNumberFormat="1" applyFont="1" applyBorder="1" applyAlignment="1">
      <alignment horizontal="center"/>
      <protection/>
    </xf>
    <xf numFmtId="10" fontId="1" fillId="0" borderId="42" xfId="57" applyNumberFormat="1" applyFont="1" applyBorder="1" applyAlignment="1">
      <alignment horizontal="center"/>
      <protection/>
    </xf>
    <xf numFmtId="10" fontId="68" fillId="0" borderId="38" xfId="57" applyNumberFormat="1" applyFont="1" applyBorder="1" applyAlignment="1">
      <alignment horizontal="center"/>
      <protection/>
    </xf>
    <xf numFmtId="10" fontId="68" fillId="0" borderId="42" xfId="57" applyNumberFormat="1" applyFont="1" applyBorder="1" applyAlignment="1">
      <alignment horizontal="center"/>
      <protection/>
    </xf>
    <xf numFmtId="10" fontId="68" fillId="0" borderId="38" xfId="57" applyNumberFormat="1" applyFont="1" applyFill="1" applyBorder="1" applyAlignment="1">
      <alignment horizontal="center"/>
      <protection/>
    </xf>
    <xf numFmtId="10" fontId="68" fillId="0" borderId="28" xfId="57" applyNumberFormat="1" applyFont="1" applyFill="1" applyBorder="1" applyAlignment="1">
      <alignment horizontal="center"/>
      <protection/>
    </xf>
    <xf numFmtId="10" fontId="68" fillId="0" borderId="42" xfId="57" applyNumberFormat="1" applyFont="1" applyFill="1" applyBorder="1" applyAlignment="1">
      <alignment horizontal="center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_-_II_Tajekoztato_tablak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2"/>
  <sheetViews>
    <sheetView view="pageBreakPreview" zoomScale="60" zoomScaleNormal="70" workbookViewId="0" topLeftCell="B1">
      <selection activeCell="C20" sqref="C20:D20"/>
    </sheetView>
  </sheetViews>
  <sheetFormatPr defaultColWidth="9.140625" defaultRowHeight="12.75"/>
  <cols>
    <col min="1" max="2" width="5.7109375" style="101" customWidth="1"/>
    <col min="3" max="3" width="8.8515625" style="101" customWidth="1"/>
    <col min="4" max="4" width="61.7109375" style="20" customWidth="1"/>
    <col min="5" max="5" width="24.28125" style="338" customWidth="1"/>
    <col min="6" max="6" width="19.140625" style="338" bestFit="1" customWidth="1"/>
    <col min="7" max="7" width="20.7109375" style="338" customWidth="1"/>
    <col min="8" max="10" width="11.57421875" style="338" hidden="1" customWidth="1"/>
    <col min="11" max="11" width="18.421875" style="339" customWidth="1"/>
    <col min="12" max="12" width="19.140625" style="339" bestFit="1" customWidth="1"/>
    <col min="13" max="13" width="18.7109375" style="339" customWidth="1"/>
    <col min="14" max="18" width="11.57421875" style="339" hidden="1" customWidth="1"/>
    <col min="19" max="19" width="17.140625" style="340" customWidth="1"/>
    <col min="20" max="20" width="14.8515625" style="339" bestFit="1" customWidth="1"/>
    <col min="21" max="21" width="15.00390625" style="339" customWidth="1"/>
    <col min="22" max="22" width="11.57421875" style="339" hidden="1" customWidth="1"/>
    <col min="23" max="24" width="11.57421875" style="340" hidden="1" customWidth="1"/>
    <col min="25" max="25" width="11.57421875" style="340" customWidth="1"/>
    <col min="26" max="16384" width="9.140625" style="340" customWidth="1"/>
  </cols>
  <sheetData>
    <row r="1" spans="1:19" ht="12.75">
      <c r="A1" s="98"/>
      <c r="B1" s="98"/>
      <c r="C1" s="98"/>
      <c r="D1" s="99"/>
      <c r="S1" s="58" t="s">
        <v>449</v>
      </c>
    </row>
    <row r="2" spans="1:22" s="342" customFormat="1" ht="34.5" customHeight="1">
      <c r="A2" s="1112" t="s">
        <v>548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  <c r="Q2" s="1112"/>
      <c r="R2" s="1112"/>
      <c r="S2" s="1112"/>
      <c r="T2" s="254"/>
      <c r="U2" s="341"/>
      <c r="V2" s="341"/>
    </row>
    <row r="3" spans="1:19" ht="13.5" thickBot="1">
      <c r="A3" s="100"/>
      <c r="B3" s="100"/>
      <c r="C3" s="100"/>
      <c r="D3" s="96"/>
      <c r="K3" s="82"/>
      <c r="L3" s="82"/>
      <c r="M3" s="82"/>
      <c r="N3" s="82"/>
      <c r="O3" s="82"/>
      <c r="P3" s="82"/>
      <c r="Q3" s="82"/>
      <c r="R3" s="82"/>
      <c r="S3" s="43" t="s">
        <v>547</v>
      </c>
    </row>
    <row r="4" spans="1:24" ht="45.75" customHeight="1" thickBot="1">
      <c r="A4" s="1113" t="s">
        <v>6</v>
      </c>
      <c r="B4" s="1114"/>
      <c r="C4" s="1114"/>
      <c r="D4" s="343" t="s">
        <v>9</v>
      </c>
      <c r="E4" s="1109" t="s">
        <v>5</v>
      </c>
      <c r="F4" s="1110"/>
      <c r="G4" s="1110"/>
      <c r="H4" s="1110"/>
      <c r="I4" s="1110"/>
      <c r="J4" s="1111"/>
      <c r="K4" s="1109" t="s">
        <v>66</v>
      </c>
      <c r="L4" s="1110"/>
      <c r="M4" s="1110"/>
      <c r="N4" s="1110"/>
      <c r="O4" s="1110"/>
      <c r="P4" s="1110"/>
      <c r="Q4" s="1116"/>
      <c r="R4" s="1111"/>
      <c r="S4" s="1109" t="s">
        <v>67</v>
      </c>
      <c r="T4" s="1110"/>
      <c r="U4" s="1110"/>
      <c r="V4" s="1110"/>
      <c r="W4" s="1110"/>
      <c r="X4" s="1111"/>
    </row>
    <row r="5" spans="1:24" ht="45.75" customHeight="1" thickBot="1">
      <c r="A5" s="320"/>
      <c r="B5" s="321"/>
      <c r="C5" s="321"/>
      <c r="D5" s="343"/>
      <c r="E5" s="378" t="s">
        <v>70</v>
      </c>
      <c r="F5" s="379" t="s">
        <v>240</v>
      </c>
      <c r="G5" s="379" t="s">
        <v>245</v>
      </c>
      <c r="H5" s="379" t="s">
        <v>248</v>
      </c>
      <c r="I5" s="379" t="s">
        <v>526</v>
      </c>
      <c r="J5" s="380" t="s">
        <v>535</v>
      </c>
      <c r="K5" s="378" t="s">
        <v>70</v>
      </c>
      <c r="L5" s="379" t="s">
        <v>240</v>
      </c>
      <c r="M5" s="379" t="s">
        <v>245</v>
      </c>
      <c r="N5" s="379" t="s">
        <v>248</v>
      </c>
      <c r="O5" s="379"/>
      <c r="P5" s="379" t="s">
        <v>526</v>
      </c>
      <c r="Q5" s="380" t="s">
        <v>535</v>
      </c>
      <c r="R5" s="380" t="s">
        <v>518</v>
      </c>
      <c r="S5" s="378" t="s">
        <v>70</v>
      </c>
      <c r="T5" s="379" t="s">
        <v>240</v>
      </c>
      <c r="U5" s="379" t="s">
        <v>245</v>
      </c>
      <c r="V5" s="379" t="s">
        <v>248</v>
      </c>
      <c r="W5" s="379" t="s">
        <v>526</v>
      </c>
      <c r="X5" s="380" t="s">
        <v>535</v>
      </c>
    </row>
    <row r="6" spans="1:24" s="7" customFormat="1" ht="21.75" customHeight="1" thickBot="1">
      <c r="A6" s="111"/>
      <c r="B6" s="1115"/>
      <c r="C6" s="1115"/>
      <c r="D6" s="1115"/>
      <c r="E6" s="381"/>
      <c r="F6" s="295"/>
      <c r="G6" s="295"/>
      <c r="H6" s="295"/>
      <c r="I6" s="295"/>
      <c r="J6" s="811"/>
      <c r="K6" s="381"/>
      <c r="L6" s="295"/>
      <c r="M6" s="295"/>
      <c r="N6" s="295"/>
      <c r="O6" s="295"/>
      <c r="P6" s="295"/>
      <c r="Q6" s="1041"/>
      <c r="R6" s="811"/>
      <c r="S6" s="381"/>
      <c r="T6" s="295"/>
      <c r="U6" s="295"/>
      <c r="V6" s="295"/>
      <c r="W6" s="295"/>
      <c r="X6" s="811"/>
    </row>
    <row r="7" spans="1:24" s="7" customFormat="1" ht="21.75" customHeight="1" thickBot="1">
      <c r="A7" s="111" t="s">
        <v>30</v>
      </c>
      <c r="B7" s="1115" t="s">
        <v>303</v>
      </c>
      <c r="C7" s="1115"/>
      <c r="D7" s="1115"/>
      <c r="E7" s="381">
        <f aca="true" t="shared" si="0" ref="E7:N7">E8+E13+E16+E17+E20</f>
        <v>131360000</v>
      </c>
      <c r="F7" s="295">
        <f t="shared" si="0"/>
        <v>131360000</v>
      </c>
      <c r="G7" s="295">
        <f t="shared" si="0"/>
        <v>132164653</v>
      </c>
      <c r="H7" s="295">
        <f t="shared" si="0"/>
        <v>0</v>
      </c>
      <c r="I7" s="295">
        <f t="shared" si="0"/>
        <v>0</v>
      </c>
      <c r="J7" s="295">
        <f t="shared" si="0"/>
        <v>0</v>
      </c>
      <c r="K7" s="381">
        <f t="shared" si="0"/>
        <v>110712207</v>
      </c>
      <c r="L7" s="295">
        <f t="shared" si="0"/>
        <v>110712207</v>
      </c>
      <c r="M7" s="295">
        <f t="shared" si="0"/>
        <v>111506860</v>
      </c>
      <c r="N7" s="295">
        <f t="shared" si="0"/>
        <v>0</v>
      </c>
      <c r="O7" s="295"/>
      <c r="P7" s="295">
        <f>P8+P13+P16+P17+P20</f>
        <v>0</v>
      </c>
      <c r="Q7" s="295">
        <f>Q8+Q13+Q16+Q17+Q20</f>
        <v>0</v>
      </c>
      <c r="R7" s="812" t="e">
        <f>P7/N7</f>
        <v>#DIV/0!</v>
      </c>
      <c r="S7" s="381">
        <f aca="true" t="shared" si="1" ref="S7:X7">S8+S13+S16+S17+S20</f>
        <v>20647793</v>
      </c>
      <c r="T7" s="295">
        <f t="shared" si="1"/>
        <v>20647793</v>
      </c>
      <c r="U7" s="295">
        <f t="shared" si="1"/>
        <v>20657793</v>
      </c>
      <c r="V7" s="295">
        <f t="shared" si="1"/>
        <v>0</v>
      </c>
      <c r="W7" s="295">
        <f t="shared" si="1"/>
        <v>0</v>
      </c>
      <c r="X7" s="295">
        <f t="shared" si="1"/>
        <v>0</v>
      </c>
    </row>
    <row r="8" spans="1:24" ht="21.75" customHeight="1">
      <c r="A8" s="662"/>
      <c r="B8" s="256" t="s">
        <v>39</v>
      </c>
      <c r="C8" s="1107" t="s">
        <v>304</v>
      </c>
      <c r="D8" s="1107"/>
      <c r="E8" s="481">
        <f aca="true" t="shared" si="2" ref="E8:N8">SUM(E9:E12)</f>
        <v>18000000</v>
      </c>
      <c r="F8" s="482">
        <f t="shared" si="2"/>
        <v>18000000</v>
      </c>
      <c r="G8" s="482">
        <f t="shared" si="2"/>
        <v>18000000</v>
      </c>
      <c r="H8" s="482">
        <f t="shared" si="2"/>
        <v>0</v>
      </c>
      <c r="I8" s="482">
        <f t="shared" si="2"/>
        <v>0</v>
      </c>
      <c r="J8" s="482">
        <f t="shared" si="2"/>
        <v>0</v>
      </c>
      <c r="K8" s="481">
        <f t="shared" si="2"/>
        <v>18000000</v>
      </c>
      <c r="L8" s="482">
        <f t="shared" si="2"/>
        <v>18000000</v>
      </c>
      <c r="M8" s="482">
        <f t="shared" si="2"/>
        <v>18000000</v>
      </c>
      <c r="N8" s="482">
        <f t="shared" si="2"/>
        <v>0</v>
      </c>
      <c r="O8" s="482"/>
      <c r="P8" s="482">
        <f>SUM(P9:P12)</f>
        <v>0</v>
      </c>
      <c r="Q8" s="482">
        <f>SUM(Q9:Q12)</f>
        <v>0</v>
      </c>
      <c r="R8" s="813" t="e">
        <f>P8/N8</f>
        <v>#DIV/0!</v>
      </c>
      <c r="S8" s="481">
        <v>0</v>
      </c>
      <c r="T8" s="482"/>
      <c r="U8" s="482"/>
      <c r="V8" s="482"/>
      <c r="W8" s="482"/>
      <c r="X8" s="482"/>
    </row>
    <row r="9" spans="1:24" ht="21.75" customHeight="1">
      <c r="A9" s="108"/>
      <c r="B9" s="104"/>
      <c r="C9" s="104" t="s">
        <v>309</v>
      </c>
      <c r="D9" s="344" t="s">
        <v>305</v>
      </c>
      <c r="E9" s="383">
        <f>'3.sz.m Önk  bev.'!E9</f>
        <v>0</v>
      </c>
      <c r="F9" s="297">
        <f>'3.sz.m Önk  bev.'!F9</f>
        <v>0</v>
      </c>
      <c r="G9" s="297">
        <f>'3.sz.m Önk  bev.'!G9</f>
        <v>0</v>
      </c>
      <c r="H9" s="297">
        <f>'3.sz.m Önk  bev.'!H9</f>
        <v>0</v>
      </c>
      <c r="I9" s="297">
        <f>'3.sz.m Önk  bev.'!I9</f>
        <v>0</v>
      </c>
      <c r="J9" s="297">
        <f>'3.sz.m Önk  bev.'!J9</f>
        <v>0</v>
      </c>
      <c r="K9" s="383">
        <f>'3.sz.m Önk  bev.'!L9</f>
        <v>0</v>
      </c>
      <c r="L9" s="297">
        <f>'3.sz.m Önk  bev.'!M9</f>
        <v>0</v>
      </c>
      <c r="M9" s="297">
        <f>'3.sz.m Önk  bev.'!N9</f>
        <v>0</v>
      </c>
      <c r="N9" s="297">
        <f>'3.sz.m Önk  bev.'!O9</f>
        <v>0</v>
      </c>
      <c r="O9" s="297"/>
      <c r="P9" s="297">
        <f>'3.sz.m Önk  bev.'!P9</f>
        <v>0</v>
      </c>
      <c r="Q9" s="297">
        <f>'3.sz.m Önk  bev.'!Q9</f>
        <v>0</v>
      </c>
      <c r="R9" s="814"/>
      <c r="S9" s="383">
        <v>0</v>
      </c>
      <c r="T9" s="297"/>
      <c r="U9" s="297"/>
      <c r="V9" s="297"/>
      <c r="W9" s="297"/>
      <c r="X9" s="297"/>
    </row>
    <row r="10" spans="1:24" ht="21.75" customHeight="1">
      <c r="A10" s="108"/>
      <c r="B10" s="104"/>
      <c r="C10" s="104" t="s">
        <v>310</v>
      </c>
      <c r="D10" s="344" t="s">
        <v>289</v>
      </c>
      <c r="E10" s="383">
        <f>'3.sz.m Önk  bev.'!E10</f>
        <v>0</v>
      </c>
      <c r="F10" s="297">
        <f>'3.sz.m Önk  bev.'!F10</f>
        <v>0</v>
      </c>
      <c r="G10" s="297">
        <f>'3.sz.m Önk  bev.'!G10</f>
        <v>0</v>
      </c>
      <c r="H10" s="297">
        <f>'3.sz.m Önk  bev.'!H10</f>
        <v>0</v>
      </c>
      <c r="I10" s="297">
        <f>'3.sz.m Önk  bev.'!I10</f>
        <v>0</v>
      </c>
      <c r="J10" s="297">
        <f>'3.sz.m Önk  bev.'!J10</f>
        <v>0</v>
      </c>
      <c r="K10" s="383">
        <f>'3.sz.m Önk  bev.'!L10</f>
        <v>0</v>
      </c>
      <c r="L10" s="297">
        <f>'3.sz.m Önk  bev.'!M10</f>
        <v>0</v>
      </c>
      <c r="M10" s="297">
        <f>'3.sz.m Önk  bev.'!N10</f>
        <v>0</v>
      </c>
      <c r="N10" s="297">
        <f>'3.sz.m Önk  bev.'!O10</f>
        <v>0</v>
      </c>
      <c r="O10" s="297"/>
      <c r="P10" s="297">
        <f>'3.sz.m Önk  bev.'!P10</f>
        <v>0</v>
      </c>
      <c r="Q10" s="297">
        <f>'3.sz.m Önk  bev.'!Q10</f>
        <v>0</v>
      </c>
      <c r="R10" s="814"/>
      <c r="S10" s="383">
        <v>0</v>
      </c>
      <c r="T10" s="297"/>
      <c r="U10" s="297"/>
      <c r="V10" s="297"/>
      <c r="W10" s="297"/>
      <c r="X10" s="297"/>
    </row>
    <row r="11" spans="1:24" ht="21.75" customHeight="1">
      <c r="A11" s="108"/>
      <c r="B11" s="104"/>
      <c r="C11" s="104" t="s">
        <v>311</v>
      </c>
      <c r="D11" s="344" t="s">
        <v>288</v>
      </c>
      <c r="E11" s="383">
        <f>'3.sz.m Önk  bev.'!E11</f>
        <v>18000000</v>
      </c>
      <c r="F11" s="297">
        <f>'3.sz.m Önk  bev.'!F11</f>
        <v>18000000</v>
      </c>
      <c r="G11" s="297">
        <f>'3.sz.m Önk  bev.'!G11</f>
        <v>18000000</v>
      </c>
      <c r="H11" s="297">
        <f>'3.sz.m Önk  bev.'!H11</f>
        <v>0</v>
      </c>
      <c r="I11" s="297">
        <f>'3.sz.m Önk  bev.'!I11</f>
        <v>0</v>
      </c>
      <c r="J11" s="297">
        <f>'3.sz.m Önk  bev.'!J11</f>
        <v>0</v>
      </c>
      <c r="K11" s="383">
        <f>'3.sz.m Önk  bev.'!L11</f>
        <v>18000000</v>
      </c>
      <c r="L11" s="297">
        <f>'3.sz.m Önk  bev.'!M11</f>
        <v>18000000</v>
      </c>
      <c r="M11" s="297">
        <f>'3.sz.m Önk  bev.'!N11</f>
        <v>18000000</v>
      </c>
      <c r="N11" s="297">
        <f>'3.sz.m Önk  bev.'!O11</f>
        <v>0</v>
      </c>
      <c r="O11" s="297"/>
      <c r="P11" s="297">
        <f>'3.sz.m Önk  bev.'!P11</f>
        <v>0</v>
      </c>
      <c r="Q11" s="297">
        <f>'3.sz.m Önk  bev.'!Q11</f>
        <v>0</v>
      </c>
      <c r="R11" s="814" t="e">
        <f aca="true" t="shared" si="3" ref="R11:R63">P11/N11</f>
        <v>#DIV/0!</v>
      </c>
      <c r="S11" s="383">
        <v>0</v>
      </c>
      <c r="T11" s="297"/>
      <c r="U11" s="297"/>
      <c r="V11" s="297"/>
      <c r="W11" s="297"/>
      <c r="X11" s="297"/>
    </row>
    <row r="12" spans="1:34" ht="21.75" customHeight="1" hidden="1">
      <c r="A12" s="108"/>
      <c r="B12" s="104"/>
      <c r="C12" s="104"/>
      <c r="D12" s="344"/>
      <c r="E12" s="383"/>
      <c r="F12" s="297"/>
      <c r="G12" s="297"/>
      <c r="H12" s="297"/>
      <c r="I12" s="297"/>
      <c r="J12" s="297"/>
      <c r="K12" s="383"/>
      <c r="L12" s="297"/>
      <c r="M12" s="297"/>
      <c r="N12" s="297"/>
      <c r="O12" s="297"/>
      <c r="P12" s="297"/>
      <c r="Q12" s="297"/>
      <c r="R12" s="814" t="e">
        <f t="shared" si="3"/>
        <v>#DIV/0!</v>
      </c>
      <c r="S12" s="383"/>
      <c r="T12" s="297"/>
      <c r="U12" s="297"/>
      <c r="V12" s="297"/>
      <c r="W12" s="297"/>
      <c r="X12" s="297"/>
      <c r="AH12" s="340" t="s">
        <v>261</v>
      </c>
    </row>
    <row r="13" spans="1:24" ht="21.75" customHeight="1">
      <c r="A13" s="108"/>
      <c r="B13" s="104" t="s">
        <v>40</v>
      </c>
      <c r="C13" s="1117" t="s">
        <v>306</v>
      </c>
      <c r="D13" s="1117"/>
      <c r="E13" s="383">
        <f aca="true" t="shared" si="4" ref="E13:S13">SUM(E14:E15)</f>
        <v>100000000</v>
      </c>
      <c r="F13" s="297">
        <f t="shared" si="4"/>
        <v>100000000</v>
      </c>
      <c r="G13" s="297">
        <f t="shared" si="4"/>
        <v>100000000</v>
      </c>
      <c r="H13" s="297">
        <f t="shared" si="4"/>
        <v>0</v>
      </c>
      <c r="I13" s="297">
        <f t="shared" si="4"/>
        <v>0</v>
      </c>
      <c r="J13" s="297">
        <f t="shared" si="4"/>
        <v>0</v>
      </c>
      <c r="K13" s="383">
        <f t="shared" si="4"/>
        <v>79352207</v>
      </c>
      <c r="L13" s="383">
        <f t="shared" si="4"/>
        <v>79352207</v>
      </c>
      <c r="M13" s="383">
        <f t="shared" si="4"/>
        <v>79342207</v>
      </c>
      <c r="N13" s="383">
        <f t="shared" si="4"/>
        <v>0</v>
      </c>
      <c r="O13" s="383">
        <f t="shared" si="4"/>
        <v>0</v>
      </c>
      <c r="P13" s="383">
        <f t="shared" si="4"/>
        <v>0</v>
      </c>
      <c r="Q13" s="383">
        <f t="shared" si="4"/>
        <v>0</v>
      </c>
      <c r="R13" s="383" t="e">
        <f t="shared" si="4"/>
        <v>#DIV/0!</v>
      </c>
      <c r="S13" s="383">
        <f t="shared" si="4"/>
        <v>20647793</v>
      </c>
      <c r="T13" s="297">
        <f>SUM(T14:T15)</f>
        <v>20647793</v>
      </c>
      <c r="U13" s="297">
        <f>SUM(U14:U15)</f>
        <v>20657793</v>
      </c>
      <c r="V13" s="297">
        <f>SUM(V14:V15)</f>
        <v>0</v>
      </c>
      <c r="W13" s="297">
        <f>SUM(W14:W15)</f>
        <v>0</v>
      </c>
      <c r="X13" s="297">
        <f>SUM(X14:X15)</f>
        <v>0</v>
      </c>
    </row>
    <row r="14" spans="1:24" ht="21.75" customHeight="1">
      <c r="A14" s="108"/>
      <c r="B14" s="104"/>
      <c r="C14" s="104" t="s">
        <v>307</v>
      </c>
      <c r="D14" s="602" t="s">
        <v>312</v>
      </c>
      <c r="E14" s="383">
        <f>'3.sz.m Önk  bev.'!E14</f>
        <v>100000000</v>
      </c>
      <c r="F14" s="297">
        <f>'3.sz.m Önk  bev.'!F14</f>
        <v>100000000</v>
      </c>
      <c r="G14" s="297">
        <f>'3.sz.m Önk  bev.'!G14</f>
        <v>100000000</v>
      </c>
      <c r="H14" s="297">
        <f>'3.sz.m Önk  bev.'!H14</f>
        <v>0</v>
      </c>
      <c r="I14" s="297">
        <f>'3.sz.m Önk  bev.'!I14</f>
        <v>0</v>
      </c>
      <c r="J14" s="297">
        <f>'3.sz.m Önk  bev.'!J14</f>
        <v>0</v>
      </c>
      <c r="K14" s="383">
        <f>'3.sz.m Önk  bev.'!L14</f>
        <v>79352207</v>
      </c>
      <c r="L14" s="297">
        <f>'3.sz.m Önk  bev.'!M14</f>
        <v>79352207</v>
      </c>
      <c r="M14" s="297">
        <f>'3.sz.m Önk  bev.'!N14</f>
        <v>79342207</v>
      </c>
      <c r="N14" s="297">
        <f>'3.sz.m Önk  bev.'!O14</f>
        <v>0</v>
      </c>
      <c r="O14" s="297"/>
      <c r="P14" s="297">
        <f>'3.sz.m Önk  bev.'!P14</f>
        <v>0</v>
      </c>
      <c r="Q14" s="297">
        <f>'3.sz.m Önk  bev.'!Q14</f>
        <v>0</v>
      </c>
      <c r="R14" s="814" t="e">
        <f t="shared" si="3"/>
        <v>#DIV/0!</v>
      </c>
      <c r="S14" s="383">
        <f>'3.sz.m Önk  bev.'!S14</f>
        <v>20647793</v>
      </c>
      <c r="T14" s="297">
        <f>'3.sz.m Önk  bev.'!T14</f>
        <v>20647793</v>
      </c>
      <c r="U14" s="297">
        <f>'3.sz.m Önk  bev.'!U14</f>
        <v>20657793</v>
      </c>
      <c r="V14" s="297">
        <f>'3.sz.m Önk  bev.'!V14</f>
        <v>0</v>
      </c>
      <c r="W14" s="297">
        <f>'3.sz.m Önk  bev.'!W14</f>
        <v>0</v>
      </c>
      <c r="X14" s="297">
        <f>'3.sz.m Önk  bev.'!X14</f>
        <v>0</v>
      </c>
    </row>
    <row r="15" spans="1:24" ht="21.75" customHeight="1">
      <c r="A15" s="108"/>
      <c r="B15" s="104"/>
      <c r="C15" s="104" t="s">
        <v>308</v>
      </c>
      <c r="D15" s="602" t="s">
        <v>313</v>
      </c>
      <c r="E15" s="383">
        <f>'3.sz.m Önk  bev.'!E15</f>
        <v>0</v>
      </c>
      <c r="F15" s="297">
        <f>'3.sz.m Önk  bev.'!F15</f>
        <v>0</v>
      </c>
      <c r="G15" s="297">
        <f>'3.sz.m Önk  bev.'!G15</f>
        <v>0</v>
      </c>
      <c r="H15" s="297">
        <f>'3.sz.m Önk  bev.'!H15</f>
        <v>0</v>
      </c>
      <c r="I15" s="297">
        <f>'3.sz.m Önk  bev.'!I15</f>
        <v>0</v>
      </c>
      <c r="J15" s="297">
        <f>'3.sz.m Önk  bev.'!J15</f>
        <v>0</v>
      </c>
      <c r="K15" s="383">
        <f>'3.sz.m Önk  bev.'!L15</f>
        <v>0</v>
      </c>
      <c r="L15" s="297">
        <f>'3.sz.m Önk  bev.'!M15</f>
        <v>0</v>
      </c>
      <c r="M15" s="297">
        <f>'3.sz.m Önk  bev.'!N15</f>
        <v>0</v>
      </c>
      <c r="N15" s="297">
        <f>'3.sz.m Önk  bev.'!O15</f>
        <v>0</v>
      </c>
      <c r="O15" s="297"/>
      <c r="P15" s="297">
        <f>'3.sz.m Önk  bev.'!P15</f>
        <v>0</v>
      </c>
      <c r="Q15" s="297">
        <f>'3.sz.m Önk  bev.'!Q15</f>
        <v>0</v>
      </c>
      <c r="R15" s="814"/>
      <c r="S15" s="383">
        <v>0</v>
      </c>
      <c r="T15" s="297"/>
      <c r="U15" s="297"/>
      <c r="V15" s="297"/>
      <c r="W15" s="297"/>
      <c r="X15" s="297"/>
    </row>
    <row r="16" spans="1:24" ht="21.75" customHeight="1">
      <c r="A16" s="108"/>
      <c r="B16" s="104" t="s">
        <v>118</v>
      </c>
      <c r="C16" s="1117" t="s">
        <v>314</v>
      </c>
      <c r="D16" s="1117"/>
      <c r="E16" s="383">
        <f>'3.sz.m Önk  bev.'!E16</f>
        <v>12000000</v>
      </c>
      <c r="F16" s="297">
        <f>'3.sz.m Önk  bev.'!F16</f>
        <v>12000000</v>
      </c>
      <c r="G16" s="297">
        <f>'3.sz.m Önk  bev.'!G16</f>
        <v>12000000</v>
      </c>
      <c r="H16" s="297">
        <f>'3.sz.m Önk  bev.'!H16</f>
        <v>0</v>
      </c>
      <c r="I16" s="297">
        <f>'3.sz.m Önk  bev.'!I16</f>
        <v>0</v>
      </c>
      <c r="J16" s="297">
        <f>'3.sz.m Önk  bev.'!J16</f>
        <v>0</v>
      </c>
      <c r="K16" s="383">
        <f>'3.sz.m Önk  bev.'!L16</f>
        <v>12000000</v>
      </c>
      <c r="L16" s="297">
        <f>'3.sz.m Önk  bev.'!M16</f>
        <v>12000000</v>
      </c>
      <c r="M16" s="297">
        <f>'3.sz.m Önk  bev.'!N16</f>
        <v>12000000</v>
      </c>
      <c r="N16" s="297">
        <f>'3.sz.m Önk  bev.'!O16</f>
        <v>0</v>
      </c>
      <c r="O16" s="297"/>
      <c r="P16" s="297">
        <f>'3.sz.m Önk  bev.'!P16</f>
        <v>0</v>
      </c>
      <c r="Q16" s="297">
        <f>'3.sz.m Önk  bev.'!Q16</f>
        <v>0</v>
      </c>
      <c r="R16" s="815" t="e">
        <f t="shared" si="3"/>
        <v>#DIV/0!</v>
      </c>
      <c r="S16" s="383">
        <v>0</v>
      </c>
      <c r="T16" s="297"/>
      <c r="U16" s="297"/>
      <c r="V16" s="297"/>
      <c r="W16" s="297"/>
      <c r="X16" s="297"/>
    </row>
    <row r="17" spans="1:24" ht="21.75" customHeight="1">
      <c r="A17" s="108"/>
      <c r="B17" s="104" t="s">
        <v>52</v>
      </c>
      <c r="C17" s="1119" t="s">
        <v>315</v>
      </c>
      <c r="D17" s="1120"/>
      <c r="E17" s="383">
        <f aca="true" t="shared" si="5" ref="E17:N17">SUM(E18:E19)</f>
        <v>800000</v>
      </c>
      <c r="F17" s="297">
        <f t="shared" si="5"/>
        <v>800000</v>
      </c>
      <c r="G17" s="297">
        <f t="shared" si="5"/>
        <v>1604633</v>
      </c>
      <c r="H17" s="297">
        <f t="shared" si="5"/>
        <v>0</v>
      </c>
      <c r="I17" s="297">
        <f t="shared" si="5"/>
        <v>0</v>
      </c>
      <c r="J17" s="297">
        <f t="shared" si="5"/>
        <v>0</v>
      </c>
      <c r="K17" s="383">
        <f t="shared" si="5"/>
        <v>800000</v>
      </c>
      <c r="L17" s="297">
        <f t="shared" si="5"/>
        <v>800000</v>
      </c>
      <c r="M17" s="297">
        <f t="shared" si="5"/>
        <v>1604633</v>
      </c>
      <c r="N17" s="297">
        <f t="shared" si="5"/>
        <v>0</v>
      </c>
      <c r="O17" s="297"/>
      <c r="P17" s="297">
        <f>SUM(P18:P19)</f>
        <v>0</v>
      </c>
      <c r="Q17" s="297">
        <f>SUM(Q18:Q19)</f>
        <v>0</v>
      </c>
      <c r="R17" s="815" t="e">
        <f t="shared" si="3"/>
        <v>#DIV/0!</v>
      </c>
      <c r="S17" s="383">
        <v>0</v>
      </c>
      <c r="T17" s="297"/>
      <c r="U17" s="297"/>
      <c r="V17" s="297"/>
      <c r="W17" s="297"/>
      <c r="X17" s="297"/>
    </row>
    <row r="18" spans="1:24" ht="21.75" customHeight="1">
      <c r="A18" s="108"/>
      <c r="B18" s="104"/>
      <c r="C18" s="104" t="s">
        <v>316</v>
      </c>
      <c r="D18" s="602" t="s">
        <v>318</v>
      </c>
      <c r="E18" s="383">
        <f>'3.sz.m Önk  bev.'!E18</f>
        <v>0</v>
      </c>
      <c r="F18" s="297">
        <f>'3.sz.m Önk  bev.'!F18</f>
        <v>0</v>
      </c>
      <c r="G18" s="297">
        <f>'3.sz.m Önk  bev.'!G18</f>
        <v>0</v>
      </c>
      <c r="H18" s="297">
        <f>'3.sz.m Önk  bev.'!H18</f>
        <v>0</v>
      </c>
      <c r="I18" s="297">
        <f>'3.sz.m Önk  bev.'!I18</f>
        <v>0</v>
      </c>
      <c r="J18" s="297">
        <f>'3.sz.m Önk  bev.'!J18</f>
        <v>0</v>
      </c>
      <c r="K18" s="383">
        <f>'3.sz.m Önk  bev.'!L18</f>
        <v>0</v>
      </c>
      <c r="L18" s="297">
        <f>'3.sz.m Önk  bev.'!M18</f>
        <v>0</v>
      </c>
      <c r="M18" s="297">
        <f>'3.sz.m Önk  bev.'!N18</f>
        <v>0</v>
      </c>
      <c r="N18" s="297">
        <f>'3.sz.m Önk  bev.'!O18</f>
        <v>0</v>
      </c>
      <c r="O18" s="297"/>
      <c r="P18" s="297">
        <f>'3.sz.m Önk  bev.'!P18</f>
        <v>0</v>
      </c>
      <c r="Q18" s="297">
        <f>'3.sz.m Önk  bev.'!Q18</f>
        <v>0</v>
      </c>
      <c r="R18" s="815"/>
      <c r="S18" s="383">
        <v>0</v>
      </c>
      <c r="T18" s="297"/>
      <c r="U18" s="297"/>
      <c r="V18" s="297"/>
      <c r="W18" s="297"/>
      <c r="X18" s="297"/>
    </row>
    <row r="19" spans="1:24" ht="21.75" customHeight="1">
      <c r="A19" s="108"/>
      <c r="B19" s="104"/>
      <c r="C19" s="104" t="s">
        <v>317</v>
      </c>
      <c r="D19" s="602" t="s">
        <v>290</v>
      </c>
      <c r="E19" s="383">
        <f>'3.sz.m Önk  bev.'!E19</f>
        <v>800000</v>
      </c>
      <c r="F19" s="297">
        <f>'3.sz.m Önk  bev.'!F19</f>
        <v>800000</v>
      </c>
      <c r="G19" s="297">
        <f>'3.sz.m Önk  bev.'!G19</f>
        <v>1604633</v>
      </c>
      <c r="H19" s="297">
        <f>'3.sz.m Önk  bev.'!H19</f>
        <v>0</v>
      </c>
      <c r="I19" s="297">
        <f>'3.sz.m Önk  bev.'!I19</f>
        <v>0</v>
      </c>
      <c r="J19" s="297">
        <f>'3.sz.m Önk  bev.'!J19</f>
        <v>0</v>
      </c>
      <c r="K19" s="383">
        <f>'3.sz.m Önk  bev.'!L19</f>
        <v>800000</v>
      </c>
      <c r="L19" s="297">
        <f>'3.sz.m Önk  bev.'!M19</f>
        <v>800000</v>
      </c>
      <c r="M19" s="297">
        <f>'3.sz.m Önk  bev.'!N19</f>
        <v>1604633</v>
      </c>
      <c r="N19" s="297">
        <f>'3.sz.m Önk  bev.'!O19</f>
        <v>0</v>
      </c>
      <c r="O19" s="297"/>
      <c r="P19" s="297">
        <f>'3.sz.m Önk  bev.'!P19</f>
        <v>0</v>
      </c>
      <c r="Q19" s="297">
        <f>'3.sz.m Önk  bev.'!Q19</f>
        <v>0</v>
      </c>
      <c r="R19" s="815" t="e">
        <f t="shared" si="3"/>
        <v>#DIV/0!</v>
      </c>
      <c r="S19" s="383">
        <v>0</v>
      </c>
      <c r="T19" s="297"/>
      <c r="U19" s="297"/>
      <c r="V19" s="297"/>
      <c r="W19" s="297"/>
      <c r="X19" s="297"/>
    </row>
    <row r="20" spans="1:24" ht="21.75" customHeight="1" thickBot="1">
      <c r="A20" s="484"/>
      <c r="B20" s="663" t="s">
        <v>53</v>
      </c>
      <c r="C20" s="1121" t="s">
        <v>319</v>
      </c>
      <c r="D20" s="1122"/>
      <c r="E20" s="383">
        <f>'3.sz.m Önk  bev.'!E20</f>
        <v>560000</v>
      </c>
      <c r="F20" s="297">
        <f>'3.sz.m Önk  bev.'!F20</f>
        <v>560000</v>
      </c>
      <c r="G20" s="297">
        <f>'3.sz.m Önk  bev.'!G20</f>
        <v>560020</v>
      </c>
      <c r="H20" s="297">
        <f>'3.sz.m Önk  bev.'!H20</f>
        <v>0</v>
      </c>
      <c r="I20" s="297">
        <f>'3.sz.m Önk  bev.'!I20</f>
        <v>0</v>
      </c>
      <c r="J20" s="297">
        <f>'3.sz.m Önk  bev.'!J20</f>
        <v>0</v>
      </c>
      <c r="K20" s="383">
        <f>'3.sz.m Önk  bev.'!L20</f>
        <v>560000</v>
      </c>
      <c r="L20" s="297">
        <f>'3.sz.m Önk  bev.'!M20</f>
        <v>560000</v>
      </c>
      <c r="M20" s="297">
        <f>'3.sz.m Önk  bev.'!N20</f>
        <v>560020</v>
      </c>
      <c r="N20" s="297">
        <f>'3.sz.m Önk  bev.'!O20</f>
        <v>0</v>
      </c>
      <c r="O20" s="297"/>
      <c r="P20" s="297">
        <f>'3.sz.m Önk  bev.'!P20</f>
        <v>0</v>
      </c>
      <c r="Q20" s="297">
        <f>'3.sz.m Önk  bev.'!Q20</f>
        <v>0</v>
      </c>
      <c r="R20" s="816" t="e">
        <f t="shared" si="3"/>
        <v>#DIV/0!</v>
      </c>
      <c r="S20" s="383">
        <v>0</v>
      </c>
      <c r="T20" s="297"/>
      <c r="U20" s="297"/>
      <c r="V20" s="297"/>
      <c r="W20" s="297"/>
      <c r="X20" s="297"/>
    </row>
    <row r="21" spans="1:24" ht="21.75" customHeight="1" thickBot="1">
      <c r="A21" s="111" t="s">
        <v>320</v>
      </c>
      <c r="B21" s="1115" t="s">
        <v>321</v>
      </c>
      <c r="C21" s="1115"/>
      <c r="D21" s="1115"/>
      <c r="E21" s="381">
        <f aca="true" t="shared" si="6" ref="E21:N21">E22+E23+E25+E29+E30+E31+E32</f>
        <v>50088918</v>
      </c>
      <c r="F21" s="295">
        <f t="shared" si="6"/>
        <v>50088918</v>
      </c>
      <c r="G21" s="295">
        <f>G22+G23+G25+G29+G30+G31+G32+G24</f>
        <v>51846426</v>
      </c>
      <c r="H21" s="295">
        <f t="shared" si="6"/>
        <v>0</v>
      </c>
      <c r="I21" s="295">
        <f t="shared" si="6"/>
        <v>0</v>
      </c>
      <c r="J21" s="295">
        <f t="shared" si="6"/>
        <v>0</v>
      </c>
      <c r="K21" s="381">
        <f t="shared" si="6"/>
        <v>50088918</v>
      </c>
      <c r="L21" s="295">
        <f t="shared" si="6"/>
        <v>50088918</v>
      </c>
      <c r="M21" s="295">
        <f>M22+M23+M25+M29+M30+M31+M32+M24</f>
        <v>51846426</v>
      </c>
      <c r="N21" s="295">
        <f t="shared" si="6"/>
        <v>0</v>
      </c>
      <c r="O21" s="295"/>
      <c r="P21" s="295">
        <f>P22+P23+P25+P29+P30+P31+P32</f>
        <v>0</v>
      </c>
      <c r="Q21" s="295">
        <f>Q22+Q23+Q25+Q29+Q30+Q31+Q32</f>
        <v>0</v>
      </c>
      <c r="R21" s="812" t="e">
        <f t="shared" si="3"/>
        <v>#DIV/0!</v>
      </c>
      <c r="S21" s="381">
        <f aca="true" t="shared" si="7" ref="S21:X21">S22+S23+S25+S29+S30+S31+S32</f>
        <v>0</v>
      </c>
      <c r="T21" s="295">
        <f t="shared" si="7"/>
        <v>0</v>
      </c>
      <c r="U21" s="295">
        <f t="shared" si="7"/>
        <v>0</v>
      </c>
      <c r="V21" s="295">
        <f t="shared" si="7"/>
        <v>0</v>
      </c>
      <c r="W21" s="295">
        <f t="shared" si="7"/>
        <v>0</v>
      </c>
      <c r="X21" s="295">
        <f t="shared" si="7"/>
        <v>0</v>
      </c>
    </row>
    <row r="22" spans="1:24" ht="21.75" customHeight="1">
      <c r="A22" s="109"/>
      <c r="B22" s="110" t="s">
        <v>42</v>
      </c>
      <c r="C22" s="1118" t="s">
        <v>322</v>
      </c>
      <c r="D22" s="1118"/>
      <c r="E22" s="382">
        <f>'3.sz.m Önk  bev.'!E22+'5.2 sz. m ÁMK'!D9</f>
        <v>32941000</v>
      </c>
      <c r="F22" s="296">
        <f>'3.sz.m Önk  bev.'!F22+'5.2 sz. m ÁMK'!E9</f>
        <v>32941000</v>
      </c>
      <c r="G22" s="296">
        <f>'3.sz.m Önk  bev.'!G22+'5.1 sz. m Köz Hiv'!F10+'5.2 sz. m ÁMK'!F10</f>
        <v>9892100</v>
      </c>
      <c r="H22" s="296">
        <f>'3.sz.m Önk  bev.'!H22+'5.2 sz. m ÁMK'!G9+'5.1 sz. m Köz Hiv'!G9</f>
        <v>0</v>
      </c>
      <c r="I22" s="296">
        <f>'3.sz.m Önk  bev.'!I22+'5.2 sz. m ÁMK'!H9+'5.1 sz. m Köz Hiv'!H9</f>
        <v>0</v>
      </c>
      <c r="J22" s="296">
        <f>'3.sz.m Önk  bev.'!J22+'5.2 sz. m ÁMK'!I9+'5.1 sz. m Köz Hiv'!I9</f>
        <v>0</v>
      </c>
      <c r="K22" s="382">
        <f>'3.sz.m Önk  bev.'!L22+'5.2 sz. m ÁMK'!L9</f>
        <v>32941000</v>
      </c>
      <c r="L22" s="296">
        <f>'3.sz.m Önk  bev.'!M22+'5.2 sz. m ÁMK'!M9</f>
        <v>32941000</v>
      </c>
      <c r="M22" s="1106">
        <f>'3.sz.m Önk  bev.'!N22+'5.1 sz. m Köz Hiv'!N10+'5.2 sz. m ÁMK'!N10</f>
        <v>9892100</v>
      </c>
      <c r="N22" s="296">
        <f>'3.sz.m Önk  bev.'!O22+'5.2 sz. m ÁMK'!O9+'5.1 sz. m Köz Hiv'!O9</f>
        <v>0</v>
      </c>
      <c r="O22" s="296"/>
      <c r="P22" s="296">
        <f>'3.sz.m Önk  bev.'!P22+'5.2 sz. m ÁMK'!P9+'5.1 sz. m Köz Hiv'!P9</f>
        <v>0</v>
      </c>
      <c r="Q22" s="296">
        <f>'3.sz.m Önk  bev.'!Q22+'5.2 sz. m ÁMK'!Q9+'5.1 sz. m Köz Hiv'!Q9</f>
        <v>0</v>
      </c>
      <c r="R22" s="817" t="e">
        <f t="shared" si="3"/>
        <v>#DIV/0!</v>
      </c>
      <c r="S22" s="382">
        <v>0</v>
      </c>
      <c r="T22" s="296"/>
      <c r="U22" s="296"/>
      <c r="V22" s="296"/>
      <c r="W22" s="296"/>
      <c r="X22" s="296"/>
    </row>
    <row r="23" spans="1:24" ht="21.75" customHeight="1">
      <c r="A23" s="108"/>
      <c r="B23" s="104" t="s">
        <v>43</v>
      </c>
      <c r="C23" s="1108" t="s">
        <v>323</v>
      </c>
      <c r="D23" s="1108"/>
      <c r="E23" s="386">
        <f>'3.sz.m Önk  bev.'!E23</f>
        <v>5783000</v>
      </c>
      <c r="F23" s="298">
        <f>'3.sz.m Önk  bev.'!F23</f>
        <v>5783000</v>
      </c>
      <c r="G23" s="296">
        <f>'3.sz.m Önk  bev.'!G23+'5.2 sz. m ÁMK'!F11</f>
        <v>11431017</v>
      </c>
      <c r="H23" s="298">
        <f>'3.sz.m Önk  bev.'!H23</f>
        <v>0</v>
      </c>
      <c r="I23" s="298">
        <f>'3.sz.m Önk  bev.'!I23</f>
        <v>0</v>
      </c>
      <c r="J23" s="298">
        <f>'3.sz.m Önk  bev.'!J23</f>
        <v>0</v>
      </c>
      <c r="K23" s="386">
        <f>'3.sz.m Önk  bev.'!L23</f>
        <v>5783000</v>
      </c>
      <c r="L23" s="298">
        <f>'3.sz.m Önk  bev.'!M23</f>
        <v>5783000</v>
      </c>
      <c r="M23" s="298">
        <f>'3.sz.m Önk  bev.'!N23+'5.2 sz. m ÁMK'!N11</f>
        <v>11431017</v>
      </c>
      <c r="N23" s="298">
        <f>'3.sz.m Önk  bev.'!O23</f>
        <v>0</v>
      </c>
      <c r="O23" s="298"/>
      <c r="P23" s="298">
        <f>'3.sz.m Önk  bev.'!P23</f>
        <v>0</v>
      </c>
      <c r="Q23" s="298">
        <f>'3.sz.m Önk  bev.'!Q23</f>
        <v>0</v>
      </c>
      <c r="R23" s="801" t="e">
        <f t="shared" si="3"/>
        <v>#DIV/0!</v>
      </c>
      <c r="S23" s="386">
        <v>0</v>
      </c>
      <c r="T23" s="298"/>
      <c r="U23" s="298"/>
      <c r="V23" s="298"/>
      <c r="W23" s="298"/>
      <c r="X23" s="298"/>
    </row>
    <row r="24" spans="1:24" ht="21.75" customHeight="1">
      <c r="A24" s="108"/>
      <c r="B24" s="104" t="s">
        <v>609</v>
      </c>
      <c r="C24" s="1108" t="s">
        <v>605</v>
      </c>
      <c r="D24" s="1123"/>
      <c r="E24" s="386"/>
      <c r="F24" s="298"/>
      <c r="G24" s="296">
        <f>'5.2 sz. m ÁMK'!F13</f>
        <v>10073000</v>
      </c>
      <c r="H24" s="298"/>
      <c r="I24" s="298"/>
      <c r="J24" s="298"/>
      <c r="K24" s="386"/>
      <c r="L24" s="298"/>
      <c r="M24" s="298">
        <f>'5.2 sz. m ÁMK'!F13</f>
        <v>10073000</v>
      </c>
      <c r="N24" s="298"/>
      <c r="O24" s="298"/>
      <c r="P24" s="298"/>
      <c r="Q24" s="298"/>
      <c r="R24" s="801"/>
      <c r="S24" s="386"/>
      <c r="T24" s="298"/>
      <c r="U24" s="298"/>
      <c r="V24" s="298"/>
      <c r="W24" s="298"/>
      <c r="X24" s="298"/>
    </row>
    <row r="25" spans="1:24" ht="21.75" customHeight="1">
      <c r="A25" s="108"/>
      <c r="B25" s="104" t="s">
        <v>291</v>
      </c>
      <c r="C25" s="1108" t="s">
        <v>324</v>
      </c>
      <c r="D25" s="1108"/>
      <c r="E25" s="386">
        <f aca="true" t="shared" si="8" ref="E25:N25">SUM(E26:E28)</f>
        <v>9403508</v>
      </c>
      <c r="F25" s="298">
        <f t="shared" si="8"/>
        <v>9403508</v>
      </c>
      <c r="G25" s="298">
        <f t="shared" si="8"/>
        <v>11391016</v>
      </c>
      <c r="H25" s="298">
        <f t="shared" si="8"/>
        <v>0</v>
      </c>
      <c r="I25" s="298">
        <f t="shared" si="8"/>
        <v>0</v>
      </c>
      <c r="J25" s="298">
        <f t="shared" si="8"/>
        <v>0</v>
      </c>
      <c r="K25" s="386">
        <f t="shared" si="8"/>
        <v>9403508</v>
      </c>
      <c r="L25" s="298">
        <f t="shared" si="8"/>
        <v>9403508</v>
      </c>
      <c r="M25" s="298">
        <f t="shared" si="8"/>
        <v>11391016</v>
      </c>
      <c r="N25" s="298">
        <f t="shared" si="8"/>
        <v>0</v>
      </c>
      <c r="O25" s="298"/>
      <c r="P25" s="298">
        <f>SUM(P26:P28)</f>
        <v>0</v>
      </c>
      <c r="Q25" s="298">
        <f>SUM(Q26:Q28)</f>
        <v>0</v>
      </c>
      <c r="R25" s="801" t="e">
        <f t="shared" si="3"/>
        <v>#DIV/0!</v>
      </c>
      <c r="S25" s="386">
        <v>0</v>
      </c>
      <c r="T25" s="298"/>
      <c r="U25" s="298">
        <f>SUM(U26:U28)</f>
        <v>0</v>
      </c>
      <c r="V25" s="298">
        <f>SUM(V26:V28)</f>
        <v>0</v>
      </c>
      <c r="W25" s="298">
        <f>SUM(W26:W28)</f>
        <v>0</v>
      </c>
      <c r="X25" s="298">
        <f>SUM(X26:X28)</f>
        <v>0</v>
      </c>
    </row>
    <row r="26" spans="1:24" ht="31.5" customHeight="1">
      <c r="A26" s="108"/>
      <c r="B26" s="104"/>
      <c r="C26" s="104" t="s">
        <v>610</v>
      </c>
      <c r="D26" s="344" t="s">
        <v>325</v>
      </c>
      <c r="E26" s="386">
        <f>'3.sz.m Önk  bev.'!E25</f>
        <v>9403508</v>
      </c>
      <c r="F26" s="298">
        <f>'3.sz.m Önk  bev.'!F25</f>
        <v>9403508</v>
      </c>
      <c r="G26" s="298">
        <f>'3.sz.m Önk  bev.'!G25+'5.2 sz. m ÁMK'!F12</f>
        <v>11000658</v>
      </c>
      <c r="H26" s="298">
        <f>'3.sz.m Önk  bev.'!H25</f>
        <v>0</v>
      </c>
      <c r="I26" s="298">
        <f>'3.sz.m Önk  bev.'!I25</f>
        <v>0</v>
      </c>
      <c r="J26" s="298">
        <f>'3.sz.m Önk  bev.'!J25</f>
        <v>0</v>
      </c>
      <c r="K26" s="386">
        <f>'3.sz.m Önk  bev.'!L25</f>
        <v>9403508</v>
      </c>
      <c r="L26" s="298">
        <f>'3.sz.m Önk  bev.'!M25</f>
        <v>9403508</v>
      </c>
      <c r="M26" s="298">
        <f>'3.sz.m Önk  bev.'!N25+'5.2 sz. m ÁMK'!N12</f>
        <v>11000658</v>
      </c>
      <c r="N26" s="298">
        <f>'3.sz.m Önk  bev.'!O25</f>
        <v>0</v>
      </c>
      <c r="O26" s="298"/>
      <c r="P26" s="298">
        <f>'3.sz.m Önk  bev.'!P25</f>
        <v>0</v>
      </c>
      <c r="Q26" s="298">
        <f>'3.sz.m Önk  bev.'!Q25</f>
        <v>0</v>
      </c>
      <c r="R26" s="801" t="e">
        <f t="shared" si="3"/>
        <v>#DIV/0!</v>
      </c>
      <c r="S26" s="386">
        <v>0</v>
      </c>
      <c r="T26" s="298"/>
      <c r="U26" s="298">
        <f>'3.sz.m Önk  bev.'!U25</f>
        <v>0</v>
      </c>
      <c r="V26" s="298">
        <f>'3.sz.m Önk  bev.'!V25</f>
        <v>0</v>
      </c>
      <c r="W26" s="298">
        <f>'3.sz.m Önk  bev.'!W25</f>
        <v>0</v>
      </c>
      <c r="X26" s="298">
        <f>'3.sz.m Önk  bev.'!X25</f>
        <v>0</v>
      </c>
    </row>
    <row r="27" spans="1:24" ht="41.25" customHeight="1">
      <c r="A27" s="108"/>
      <c r="B27" s="104"/>
      <c r="C27" s="104" t="s">
        <v>611</v>
      </c>
      <c r="D27" s="344" t="s">
        <v>326</v>
      </c>
      <c r="E27" s="386">
        <f>'3.sz.m Önk  bev.'!E26</f>
        <v>0</v>
      </c>
      <c r="F27" s="298">
        <f>'3.sz.m Önk  bev.'!F26</f>
        <v>0</v>
      </c>
      <c r="G27" s="298">
        <f>'3.sz.m Önk  bev.'!G26</f>
        <v>390358</v>
      </c>
      <c r="H27" s="298">
        <f>'3.sz.m Önk  bev.'!H26</f>
        <v>0</v>
      </c>
      <c r="I27" s="298">
        <f>'3.sz.m Önk  bev.'!I26</f>
        <v>0</v>
      </c>
      <c r="J27" s="298">
        <f>'3.sz.m Önk  bev.'!J26</f>
        <v>0</v>
      </c>
      <c r="K27" s="386">
        <f>'3.sz.m Önk  bev.'!L26</f>
        <v>0</v>
      </c>
      <c r="L27" s="298">
        <f>'3.sz.m Önk  bev.'!M26</f>
        <v>0</v>
      </c>
      <c r="M27" s="298">
        <f>'3.sz.m Önk  bev.'!N26</f>
        <v>390358</v>
      </c>
      <c r="N27" s="298">
        <f>'3.sz.m Önk  bev.'!O26</f>
        <v>0</v>
      </c>
      <c r="O27" s="298"/>
      <c r="P27" s="298">
        <f>'3.sz.m Önk  bev.'!P26</f>
        <v>0</v>
      </c>
      <c r="Q27" s="298">
        <f>'3.sz.m Önk  bev.'!Q26</f>
        <v>0</v>
      </c>
      <c r="R27" s="801" t="e">
        <f t="shared" si="3"/>
        <v>#DIV/0!</v>
      </c>
      <c r="S27" s="386">
        <v>0</v>
      </c>
      <c r="T27" s="298"/>
      <c r="U27" s="298"/>
      <c r="V27" s="298"/>
      <c r="W27" s="298"/>
      <c r="X27" s="298"/>
    </row>
    <row r="28" spans="1:24" ht="21.75" customHeight="1">
      <c r="A28" s="108"/>
      <c r="B28" s="104"/>
      <c r="C28" s="104" t="s">
        <v>612</v>
      </c>
      <c r="D28" s="344" t="s">
        <v>327</v>
      </c>
      <c r="E28" s="386">
        <f>'3.sz.m Önk  bev.'!E27</f>
        <v>0</v>
      </c>
      <c r="F28" s="298">
        <f>'3.sz.m Önk  bev.'!F27</f>
        <v>0</v>
      </c>
      <c r="G28" s="298">
        <f>'3.sz.m Önk  bev.'!G27</f>
        <v>0</v>
      </c>
      <c r="H28" s="298">
        <f>'3.sz.m Önk  bev.'!H27</f>
        <v>0</v>
      </c>
      <c r="I28" s="298">
        <f>'3.sz.m Önk  bev.'!I27</f>
        <v>0</v>
      </c>
      <c r="J28" s="298">
        <f>'3.sz.m Önk  bev.'!J27</f>
        <v>0</v>
      </c>
      <c r="K28" s="386">
        <f>'3.sz.m Önk  bev.'!L27</f>
        <v>0</v>
      </c>
      <c r="L28" s="298">
        <f>'3.sz.m Önk  bev.'!M27</f>
        <v>0</v>
      </c>
      <c r="M28" s="298">
        <f>'3.sz.m Önk  bev.'!N27</f>
        <v>0</v>
      </c>
      <c r="N28" s="298">
        <f>'3.sz.m Önk  bev.'!O27</f>
        <v>0</v>
      </c>
      <c r="O28" s="298"/>
      <c r="P28" s="298">
        <f>'3.sz.m Önk  bev.'!P27</f>
        <v>0</v>
      </c>
      <c r="Q28" s="298">
        <f>'3.sz.m Önk  bev.'!Q27</f>
        <v>0</v>
      </c>
      <c r="R28" s="801"/>
      <c r="S28" s="386">
        <v>0</v>
      </c>
      <c r="T28" s="298"/>
      <c r="U28" s="298"/>
      <c r="V28" s="298"/>
      <c r="W28" s="298"/>
      <c r="X28" s="298"/>
    </row>
    <row r="29" spans="1:24" ht="21.75" customHeight="1">
      <c r="A29" s="108"/>
      <c r="B29" s="104" t="s">
        <v>329</v>
      </c>
      <c r="C29" s="1108" t="s">
        <v>328</v>
      </c>
      <c r="D29" s="1108"/>
      <c r="E29" s="386">
        <f>'3.sz.m Önk  bev.'!E28</f>
        <v>1561410</v>
      </c>
      <c r="F29" s="298">
        <f>'3.sz.m Önk  bev.'!F28</f>
        <v>1561410</v>
      </c>
      <c r="G29" s="298">
        <f>'3.sz.m Önk  bev.'!G28+'5.2 sz. m ÁMK'!F14</f>
        <v>8251415</v>
      </c>
      <c r="H29" s="298">
        <f>'3.sz.m Önk  bev.'!H28</f>
        <v>0</v>
      </c>
      <c r="I29" s="298">
        <f>'3.sz.m Önk  bev.'!I28</f>
        <v>0</v>
      </c>
      <c r="J29" s="298">
        <f>'3.sz.m Önk  bev.'!J28</f>
        <v>0</v>
      </c>
      <c r="K29" s="386">
        <f>'3.sz.m Önk  bev.'!L28</f>
        <v>1561410</v>
      </c>
      <c r="L29" s="298">
        <f>'3.sz.m Önk  bev.'!M28</f>
        <v>1561410</v>
      </c>
      <c r="M29" s="298">
        <f>'3.sz.m Önk  bev.'!N28+'5.2 sz. m ÁMK'!N14</f>
        <v>8251415</v>
      </c>
      <c r="N29" s="298">
        <f>'3.sz.m Önk  bev.'!O28</f>
        <v>0</v>
      </c>
      <c r="O29" s="298"/>
      <c r="P29" s="298">
        <f>'3.sz.m Önk  bev.'!P28</f>
        <v>0</v>
      </c>
      <c r="Q29" s="298">
        <f>'3.sz.m Önk  bev.'!Q28</f>
        <v>0</v>
      </c>
      <c r="R29" s="801" t="e">
        <f t="shared" si="3"/>
        <v>#DIV/0!</v>
      </c>
      <c r="S29" s="386">
        <v>0</v>
      </c>
      <c r="T29" s="298"/>
      <c r="U29" s="298"/>
      <c r="V29" s="298"/>
      <c r="W29" s="298"/>
      <c r="X29" s="298"/>
    </row>
    <row r="30" spans="1:24" ht="21.75" customHeight="1" hidden="1">
      <c r="A30" s="112"/>
      <c r="B30" s="113" t="s">
        <v>331</v>
      </c>
      <c r="C30" s="1108" t="s">
        <v>330</v>
      </c>
      <c r="D30" s="1123"/>
      <c r="E30" s="386">
        <f>'3.sz.m Önk  bev.'!E29</f>
        <v>0</v>
      </c>
      <c r="F30" s="298">
        <f>'3.sz.m Önk  bev.'!F29</f>
        <v>0</v>
      </c>
      <c r="G30" s="298">
        <f>'3.sz.m Önk  bev.'!G29</f>
        <v>0</v>
      </c>
      <c r="H30" s="298">
        <f>'3.sz.m Önk  bev.'!H29</f>
        <v>0</v>
      </c>
      <c r="I30" s="298">
        <f>'3.sz.m Önk  bev.'!I29</f>
        <v>0</v>
      </c>
      <c r="J30" s="298">
        <f>'3.sz.m Önk  bev.'!J29</f>
        <v>0</v>
      </c>
      <c r="K30" s="386">
        <f>'3.sz.m Önk  bev.'!L29</f>
        <v>0</v>
      </c>
      <c r="L30" s="298">
        <f>'3.sz.m Önk  bev.'!M29</f>
        <v>0</v>
      </c>
      <c r="M30" s="298">
        <f>'3.sz.m Önk  bev.'!N29</f>
        <v>0</v>
      </c>
      <c r="N30" s="298">
        <f>'3.sz.m Önk  bev.'!O29</f>
        <v>0</v>
      </c>
      <c r="O30" s="298"/>
      <c r="P30" s="298">
        <f>'3.sz.m Önk  bev.'!P29</f>
        <v>0</v>
      </c>
      <c r="Q30" s="298">
        <f>'3.sz.m Önk  bev.'!Q29</f>
        <v>0</v>
      </c>
      <c r="R30" s="801"/>
      <c r="S30" s="386">
        <v>0</v>
      </c>
      <c r="T30" s="298"/>
      <c r="U30" s="298"/>
      <c r="V30" s="298"/>
      <c r="W30" s="298"/>
      <c r="X30" s="298"/>
    </row>
    <row r="31" spans="1:24" ht="21.75" customHeight="1">
      <c r="A31" s="112"/>
      <c r="B31" s="113" t="s">
        <v>331</v>
      </c>
      <c r="C31" s="1108" t="s">
        <v>332</v>
      </c>
      <c r="D31" s="1123"/>
      <c r="E31" s="386">
        <f>'3.sz.m Önk  bev.'!E30</f>
        <v>400000</v>
      </c>
      <c r="F31" s="298">
        <f>'3.sz.m Önk  bev.'!F30</f>
        <v>400000</v>
      </c>
      <c r="G31" s="298">
        <f>'3.sz.m Önk  bev.'!G30+'5.1 sz. m Köz Hiv'!F11+'5.2 sz. m ÁMK'!F15</f>
        <v>401500</v>
      </c>
      <c r="H31" s="298">
        <f>'3.sz.m Önk  bev.'!H30</f>
        <v>0</v>
      </c>
      <c r="I31" s="298">
        <f>'3.sz.m Önk  bev.'!I30</f>
        <v>0</v>
      </c>
      <c r="J31" s="298">
        <f>'3.sz.m Önk  bev.'!J30</f>
        <v>0</v>
      </c>
      <c r="K31" s="386">
        <f>'3.sz.m Önk  bev.'!L30</f>
        <v>400000</v>
      </c>
      <c r="L31" s="298">
        <f>'3.sz.m Önk  bev.'!M30</f>
        <v>400000</v>
      </c>
      <c r="M31" s="298">
        <f>'3.sz.m Önk  bev.'!N30+'5.1 sz. m Köz Hiv'!N11+'5.2 sz. m ÁMK'!N15</f>
        <v>401500</v>
      </c>
      <c r="N31" s="298">
        <f>'3.sz.m Önk  bev.'!O30</f>
        <v>0</v>
      </c>
      <c r="O31" s="298"/>
      <c r="P31" s="298">
        <f>'3.sz.m Önk  bev.'!P30</f>
        <v>0</v>
      </c>
      <c r="Q31" s="298">
        <f>'3.sz.m Önk  bev.'!Q30</f>
        <v>0</v>
      </c>
      <c r="R31" s="801" t="e">
        <f t="shared" si="3"/>
        <v>#DIV/0!</v>
      </c>
      <c r="S31" s="386">
        <v>0</v>
      </c>
      <c r="T31" s="298"/>
      <c r="U31" s="298"/>
      <c r="V31" s="298"/>
      <c r="W31" s="298"/>
      <c r="X31" s="298"/>
    </row>
    <row r="32" spans="1:24" ht="21.75" customHeight="1" thickBot="1">
      <c r="A32" s="112"/>
      <c r="B32" s="113" t="s">
        <v>613</v>
      </c>
      <c r="C32" s="1124" t="s">
        <v>75</v>
      </c>
      <c r="D32" s="1124"/>
      <c r="E32" s="386">
        <f>'3.sz.m Önk  bev.'!E31</f>
        <v>0</v>
      </c>
      <c r="F32" s="298">
        <f>'3.sz.m Önk  bev.'!F31</f>
        <v>0</v>
      </c>
      <c r="G32" s="298">
        <f>'3.sz.m Önk  bev.'!G31+'5.1 sz. m Köz Hiv'!F12+'5.2 sz. m ÁMK'!F16</f>
        <v>406378</v>
      </c>
      <c r="H32" s="298">
        <f>'3.sz.m Önk  bev.'!H31</f>
        <v>0</v>
      </c>
      <c r="I32" s="298">
        <f>'3.sz.m Önk  bev.'!I31</f>
        <v>0</v>
      </c>
      <c r="J32" s="298">
        <f>'3.sz.m Önk  bev.'!J31</f>
        <v>0</v>
      </c>
      <c r="K32" s="386">
        <f>'3.sz.m Önk  bev.'!L31</f>
        <v>0</v>
      </c>
      <c r="L32" s="298">
        <f>'3.sz.m Önk  bev.'!M31</f>
        <v>0</v>
      </c>
      <c r="M32" s="298">
        <f>'3.sz.m Önk  bev.'!N31+'5.1 sz. m Köz Hiv'!N12+'5.2 sz. m ÁMK'!N16</f>
        <v>406378</v>
      </c>
      <c r="N32" s="298">
        <f>'3.sz.m Önk  bev.'!O31</f>
        <v>0</v>
      </c>
      <c r="O32" s="298"/>
      <c r="P32" s="298">
        <f>'3.sz.m Önk  bev.'!P31</f>
        <v>0</v>
      </c>
      <c r="Q32" s="298">
        <f>'3.sz.m Önk  bev.'!Q31</f>
        <v>0</v>
      </c>
      <c r="R32" s="801" t="e">
        <f t="shared" si="3"/>
        <v>#DIV/0!</v>
      </c>
      <c r="S32" s="386">
        <v>0</v>
      </c>
      <c r="T32" s="298"/>
      <c r="U32" s="298"/>
      <c r="V32" s="298"/>
      <c r="W32" s="298"/>
      <c r="X32" s="298"/>
    </row>
    <row r="33" spans="1:24" ht="42.75" customHeight="1" thickBot="1">
      <c r="A33" s="115" t="s">
        <v>10</v>
      </c>
      <c r="B33" s="1115" t="s">
        <v>333</v>
      </c>
      <c r="C33" s="1115"/>
      <c r="D33" s="1115"/>
      <c r="E33" s="376">
        <f aca="true" t="shared" si="9" ref="E33:N33">SUM(E34:E38)</f>
        <v>279000033</v>
      </c>
      <c r="F33" s="118">
        <f t="shared" si="9"/>
        <v>279000033</v>
      </c>
      <c r="G33" s="118">
        <f t="shared" si="9"/>
        <v>279880420</v>
      </c>
      <c r="H33" s="118">
        <f t="shared" si="9"/>
        <v>0</v>
      </c>
      <c r="I33" s="118">
        <f t="shared" si="9"/>
        <v>0</v>
      </c>
      <c r="J33" s="118">
        <f t="shared" si="9"/>
        <v>0</v>
      </c>
      <c r="K33" s="376">
        <f t="shared" si="9"/>
        <v>279000033</v>
      </c>
      <c r="L33" s="118">
        <f t="shared" si="9"/>
        <v>279000033</v>
      </c>
      <c r="M33" s="118">
        <f t="shared" si="9"/>
        <v>279880420</v>
      </c>
      <c r="N33" s="118">
        <f t="shared" si="9"/>
        <v>0</v>
      </c>
      <c r="O33" s="118"/>
      <c r="P33" s="118">
        <f>SUM(P34:P38)</f>
        <v>0</v>
      </c>
      <c r="Q33" s="118">
        <f>SUM(Q34:Q38)</f>
        <v>0</v>
      </c>
      <c r="R33" s="818" t="e">
        <f t="shared" si="3"/>
        <v>#DIV/0!</v>
      </c>
      <c r="S33" s="376">
        <v>0</v>
      </c>
      <c r="T33" s="118"/>
      <c r="U33" s="118"/>
      <c r="V33" s="118"/>
      <c r="W33" s="118"/>
      <c r="X33" s="118"/>
    </row>
    <row r="34" spans="1:24" ht="21.75" customHeight="1">
      <c r="A34" s="109"/>
      <c r="B34" s="113" t="s">
        <v>45</v>
      </c>
      <c r="C34" s="1133" t="s">
        <v>334</v>
      </c>
      <c r="D34" s="1134"/>
      <c r="E34" s="386">
        <f>'3.sz.m Önk  bev.'!E33</f>
        <v>237504190</v>
      </c>
      <c r="F34" s="298">
        <f>'3.sz.m Önk  bev.'!F33</f>
        <v>240592752</v>
      </c>
      <c r="G34" s="298">
        <f>'3.sz.m Önk  bev.'!G33</f>
        <v>245542709</v>
      </c>
      <c r="H34" s="298">
        <f>'3.sz.m Önk  bev.'!H33</f>
        <v>0</v>
      </c>
      <c r="I34" s="298">
        <f>'3.sz.m Önk  bev.'!I33</f>
        <v>0</v>
      </c>
      <c r="J34" s="298">
        <f>'3.sz.m Önk  bev.'!J33</f>
        <v>0</v>
      </c>
      <c r="K34" s="386">
        <f>'3.sz.m Önk  bev.'!L33</f>
        <v>237504190</v>
      </c>
      <c r="L34" s="298">
        <f>'3.sz.m Önk  bev.'!M33</f>
        <v>240592752</v>
      </c>
      <c r="M34" s="298">
        <f>'3.sz.m Önk  bev.'!N33</f>
        <v>244781593</v>
      </c>
      <c r="N34" s="298">
        <f>'3.sz.m Önk  bev.'!O33</f>
        <v>0</v>
      </c>
      <c r="O34" s="298"/>
      <c r="P34" s="298">
        <f>'3.sz.m Önk  bev.'!P33</f>
        <v>0</v>
      </c>
      <c r="Q34" s="298">
        <f>'3.sz.m Önk  bev.'!Q33</f>
        <v>0</v>
      </c>
      <c r="R34" s="819" t="e">
        <f t="shared" si="3"/>
        <v>#DIV/0!</v>
      </c>
      <c r="S34" s="386">
        <v>0</v>
      </c>
      <c r="T34" s="298"/>
      <c r="U34" s="298"/>
      <c r="V34" s="298"/>
      <c r="W34" s="298"/>
      <c r="X34" s="298"/>
    </row>
    <row r="35" spans="1:24" ht="21.75" customHeight="1">
      <c r="A35" s="108"/>
      <c r="B35" s="113" t="s">
        <v>46</v>
      </c>
      <c r="C35" s="1108" t="s">
        <v>335</v>
      </c>
      <c r="D35" s="1123"/>
      <c r="E35" s="386">
        <f>'3.sz.m Önk  bev.'!E34</f>
        <v>0</v>
      </c>
      <c r="F35" s="298">
        <f>'3.sz.m Önk  bev.'!F34</f>
        <v>0</v>
      </c>
      <c r="G35" s="298">
        <f>'3.sz.m Önk  bev.'!G34</f>
        <v>3399025</v>
      </c>
      <c r="H35" s="298">
        <f>'3.sz.m Önk  bev.'!H34</f>
        <v>0</v>
      </c>
      <c r="I35" s="298">
        <f>'3.sz.m Önk  bev.'!I34</f>
        <v>0</v>
      </c>
      <c r="J35" s="298">
        <f>'3.sz.m Önk  bev.'!J34</f>
        <v>0</v>
      </c>
      <c r="K35" s="386">
        <f>'3.sz.m Önk  bev.'!L34</f>
        <v>0</v>
      </c>
      <c r="L35" s="298">
        <f>'3.sz.m Önk  bev.'!M34</f>
        <v>0</v>
      </c>
      <c r="M35" s="298">
        <f>'3.sz.m Önk  bev.'!N34</f>
        <v>3399025</v>
      </c>
      <c r="N35" s="298">
        <f>'3.sz.m Önk  bev.'!O34</f>
        <v>0</v>
      </c>
      <c r="O35" s="298"/>
      <c r="P35" s="298">
        <f>'3.sz.m Önk  bev.'!P34</f>
        <v>0</v>
      </c>
      <c r="Q35" s="298">
        <f>'3.sz.m Önk  bev.'!Q34</f>
        <v>0</v>
      </c>
      <c r="R35" s="820" t="e">
        <f t="shared" si="3"/>
        <v>#DIV/0!</v>
      </c>
      <c r="S35" s="386">
        <v>0</v>
      </c>
      <c r="T35" s="298"/>
      <c r="U35" s="298"/>
      <c r="V35" s="298"/>
      <c r="W35" s="298"/>
      <c r="X35" s="298"/>
    </row>
    <row r="36" spans="1:24" ht="21.75" customHeight="1">
      <c r="A36" s="108"/>
      <c r="B36" s="113" t="s">
        <v>72</v>
      </c>
      <c r="C36" s="1108" t="s">
        <v>508</v>
      </c>
      <c r="D36" s="1108"/>
      <c r="E36" s="386">
        <f>'3.sz.m Önk  bev.'!E35</f>
        <v>0</v>
      </c>
      <c r="F36" s="298">
        <f>'3.sz.m Önk  bev.'!F35</f>
        <v>0</v>
      </c>
      <c r="G36" s="298">
        <f>'3.sz.m Önk  bev.'!G35</f>
        <v>0</v>
      </c>
      <c r="H36" s="298">
        <f>'3.sz.m Önk  bev.'!H35</f>
        <v>0</v>
      </c>
      <c r="I36" s="298">
        <f>'3.sz.m Önk  bev.'!I35</f>
        <v>0</v>
      </c>
      <c r="J36" s="298">
        <f>'3.sz.m Önk  bev.'!J35</f>
        <v>0</v>
      </c>
      <c r="K36" s="386">
        <f>'3.sz.m Önk  bev.'!L35</f>
        <v>0</v>
      </c>
      <c r="L36" s="298">
        <f>'3.sz.m Önk  bev.'!M35</f>
        <v>0</v>
      </c>
      <c r="M36" s="298">
        <f>'3.sz.m Önk  bev.'!N35</f>
        <v>0</v>
      </c>
      <c r="N36" s="298">
        <f>'3.sz.m Önk  bev.'!O35</f>
        <v>0</v>
      </c>
      <c r="O36" s="298"/>
      <c r="P36" s="298">
        <f>'3.sz.m Önk  bev.'!P35</f>
        <v>0</v>
      </c>
      <c r="Q36" s="298">
        <f>'3.sz.m Önk  bev.'!Q35</f>
        <v>0</v>
      </c>
      <c r="R36" s="820" t="e">
        <f t="shared" si="3"/>
        <v>#DIV/0!</v>
      </c>
      <c r="S36" s="386">
        <v>0</v>
      </c>
      <c r="T36" s="298"/>
      <c r="U36" s="298"/>
      <c r="V36" s="298"/>
      <c r="W36" s="298"/>
      <c r="X36" s="298"/>
    </row>
    <row r="37" spans="1:24" ht="21.75" customHeight="1">
      <c r="A37" s="108"/>
      <c r="B37" s="113" t="s">
        <v>73</v>
      </c>
      <c r="C37" s="1108" t="s">
        <v>388</v>
      </c>
      <c r="D37" s="1123"/>
      <c r="E37" s="386"/>
      <c r="F37" s="298"/>
      <c r="G37" s="298">
        <f>'3.sz.m Önk  bev.'!G36</f>
        <v>0</v>
      </c>
      <c r="H37" s="298">
        <f>'3.sz.m Önk  bev.'!H36</f>
        <v>0</v>
      </c>
      <c r="I37" s="298">
        <f>'3.sz.m Önk  bev.'!I36</f>
        <v>0</v>
      </c>
      <c r="J37" s="298">
        <f>'3.sz.m Önk  bev.'!J36</f>
        <v>0</v>
      </c>
      <c r="K37" s="386"/>
      <c r="L37" s="298"/>
      <c r="M37" s="298"/>
      <c r="N37" s="298"/>
      <c r="O37" s="298"/>
      <c r="P37" s="298"/>
      <c r="Q37" s="298"/>
      <c r="R37" s="820"/>
      <c r="S37" s="386">
        <v>0</v>
      </c>
      <c r="T37" s="298"/>
      <c r="U37" s="298"/>
      <c r="V37" s="298"/>
      <c r="W37" s="298"/>
      <c r="X37" s="298"/>
    </row>
    <row r="38" spans="1:24" ht="45.75" customHeight="1">
      <c r="A38" s="108"/>
      <c r="B38" s="113" t="s">
        <v>384</v>
      </c>
      <c r="C38" s="1108" t="s">
        <v>336</v>
      </c>
      <c r="D38" s="1123"/>
      <c r="E38" s="386">
        <f aca="true" t="shared" si="10" ref="E38:N38">SUM(E39:E41)</f>
        <v>41495843</v>
      </c>
      <c r="F38" s="298">
        <f t="shared" si="10"/>
        <v>38407281</v>
      </c>
      <c r="G38" s="298">
        <f t="shared" si="10"/>
        <v>30938686</v>
      </c>
      <c r="H38" s="298">
        <f t="shared" si="10"/>
        <v>0</v>
      </c>
      <c r="I38" s="298">
        <f t="shared" si="10"/>
        <v>0</v>
      </c>
      <c r="J38" s="298">
        <f t="shared" si="10"/>
        <v>0</v>
      </c>
      <c r="K38" s="386">
        <f t="shared" si="10"/>
        <v>41495843</v>
      </c>
      <c r="L38" s="298">
        <f t="shared" si="10"/>
        <v>38407281</v>
      </c>
      <c r="M38" s="298">
        <f t="shared" si="10"/>
        <v>31699802</v>
      </c>
      <c r="N38" s="298">
        <f t="shared" si="10"/>
        <v>0</v>
      </c>
      <c r="O38" s="298"/>
      <c r="P38" s="298">
        <f>SUM(P39:P41)</f>
        <v>0</v>
      </c>
      <c r="Q38" s="298">
        <f>SUM(Q39:Q41)</f>
        <v>0</v>
      </c>
      <c r="R38" s="820" t="e">
        <f t="shared" si="3"/>
        <v>#DIV/0!</v>
      </c>
      <c r="S38" s="386">
        <v>0</v>
      </c>
      <c r="T38" s="298"/>
      <c r="U38" s="298"/>
      <c r="V38" s="298"/>
      <c r="W38" s="298"/>
      <c r="X38" s="298"/>
    </row>
    <row r="39" spans="1:24" ht="21.75" customHeight="1">
      <c r="A39" s="108"/>
      <c r="B39" s="113"/>
      <c r="C39" s="110" t="s">
        <v>385</v>
      </c>
      <c r="D39" s="664" t="s">
        <v>36</v>
      </c>
      <c r="E39" s="386">
        <f>'3.sz.m Önk  bev.'!E38</f>
        <v>7690835</v>
      </c>
      <c r="F39" s="298">
        <f>'3.sz.m Önk  bev.'!F38</f>
        <v>7690835</v>
      </c>
      <c r="G39" s="298">
        <f>'3.sz.m Önk  bev.'!G38</f>
        <v>7690835</v>
      </c>
      <c r="H39" s="298">
        <f>'3.sz.m Önk  bev.'!H38</f>
        <v>0</v>
      </c>
      <c r="I39" s="298">
        <f>'3.sz.m Önk  bev.'!I38</f>
        <v>0</v>
      </c>
      <c r="J39" s="298">
        <f>'3.sz.m Önk  bev.'!J38</f>
        <v>0</v>
      </c>
      <c r="K39" s="386">
        <f>'3.sz.m Önk  bev.'!L38</f>
        <v>7690835</v>
      </c>
      <c r="L39" s="298">
        <f>'3.sz.m Önk  bev.'!M38</f>
        <v>7690835</v>
      </c>
      <c r="M39" s="298">
        <f>'3.sz.m Önk  bev.'!N38</f>
        <v>7690835</v>
      </c>
      <c r="N39" s="298">
        <f>'3.sz.m Önk  bev.'!O38</f>
        <v>0</v>
      </c>
      <c r="O39" s="298"/>
      <c r="P39" s="298">
        <f>'3.sz.m Önk  bev.'!P38</f>
        <v>0</v>
      </c>
      <c r="Q39" s="298">
        <f>'3.sz.m Önk  bev.'!Q38</f>
        <v>0</v>
      </c>
      <c r="R39" s="820" t="e">
        <f t="shared" si="3"/>
        <v>#DIV/0!</v>
      </c>
      <c r="S39" s="386">
        <v>0</v>
      </c>
      <c r="T39" s="298"/>
      <c r="U39" s="298"/>
      <c r="V39" s="298"/>
      <c r="W39" s="298"/>
      <c r="X39" s="298"/>
    </row>
    <row r="40" spans="1:24" ht="21.75" customHeight="1">
      <c r="A40" s="108"/>
      <c r="B40" s="113"/>
      <c r="C40" s="104" t="s">
        <v>386</v>
      </c>
      <c r="D40" s="344" t="s">
        <v>35</v>
      </c>
      <c r="E40" s="386">
        <f>'3.sz.m Önk  bev.'!E39+'5.2 sz. m ÁMK'!D20</f>
        <v>0</v>
      </c>
      <c r="F40" s="298">
        <f>'3.sz.m Önk  bev.'!F39+'5.2 sz. m ÁMK'!E20</f>
        <v>0</v>
      </c>
      <c r="G40" s="298">
        <f>'3.sz.m Önk  bev.'!G39+'5.2 sz. m ÁMK'!F20</f>
        <v>0</v>
      </c>
      <c r="H40" s="298">
        <f>'3.sz.m Önk  bev.'!H39+'5.2 sz. m ÁMK'!G20</f>
        <v>0</v>
      </c>
      <c r="I40" s="298">
        <f>'3.sz.m Önk  bev.'!I39+'5.2 sz. m ÁMK'!H20</f>
        <v>0</v>
      </c>
      <c r="J40" s="298">
        <f>'3.sz.m Önk  bev.'!J39+'5.2 sz. m ÁMK'!I20</f>
        <v>0</v>
      </c>
      <c r="K40" s="386">
        <f>'3.sz.m Önk  bev.'!L39+'5.2 sz. m ÁMK'!L20</f>
        <v>0</v>
      </c>
      <c r="L40" s="298">
        <f>'3.sz.m Önk  bev.'!M39+'5.2 sz. m ÁMK'!M20</f>
        <v>0</v>
      </c>
      <c r="M40" s="298">
        <f>'3.sz.m Önk  bev.'!N39+'5.2 sz. m ÁMK'!N20</f>
        <v>0</v>
      </c>
      <c r="N40" s="298">
        <f>'3.sz.m Önk  bev.'!O39+'5.2 sz. m ÁMK'!O20</f>
        <v>0</v>
      </c>
      <c r="O40" s="298"/>
      <c r="P40" s="298">
        <f>'3.sz.m Önk  bev.'!P39+'5.2 sz. m ÁMK'!P20</f>
        <v>0</v>
      </c>
      <c r="Q40" s="298">
        <f>'3.sz.m Önk  bev.'!Q39+'5.2 sz. m ÁMK'!Q20</f>
        <v>0</v>
      </c>
      <c r="R40" s="820"/>
      <c r="S40" s="386">
        <v>0</v>
      </c>
      <c r="T40" s="298"/>
      <c r="U40" s="298"/>
      <c r="V40" s="298"/>
      <c r="W40" s="298"/>
      <c r="X40" s="298"/>
    </row>
    <row r="41" spans="1:24" ht="21.75" customHeight="1" thickBot="1">
      <c r="A41" s="108"/>
      <c r="B41" s="113"/>
      <c r="C41" s="104" t="s">
        <v>387</v>
      </c>
      <c r="D41" s="344" t="s">
        <v>37</v>
      </c>
      <c r="E41" s="386">
        <f>'3.sz.m Önk  bev.'!E40+'5.1 sz. m Köz Hiv'!D15</f>
        <v>33805008</v>
      </c>
      <c r="F41" s="386">
        <f>'3.sz.m Önk  bev.'!F40+'5.1 sz. m Köz Hiv'!E15</f>
        <v>30716446</v>
      </c>
      <c r="G41" s="386">
        <f>'3.sz.m Önk  bev.'!G40+'5.1 sz. m Köz Hiv'!F15</f>
        <v>23247851</v>
      </c>
      <c r="H41" s="386">
        <f>'3.sz.m Önk  bev.'!H40+'5.1 sz. m Köz Hiv'!G15</f>
        <v>0</v>
      </c>
      <c r="I41" s="386">
        <f>'3.sz.m Önk  bev.'!I40+'5.1 sz. m Köz Hiv'!H15</f>
        <v>0</v>
      </c>
      <c r="J41" s="386">
        <f>'3.sz.m Önk  bev.'!J40+'5.1 sz. m Köz Hiv'!I15</f>
        <v>0</v>
      </c>
      <c r="K41" s="386">
        <f>'3.sz.m Önk  bev.'!L40+'5.1 sz. m Köz Hiv'!L15</f>
        <v>33805008</v>
      </c>
      <c r="L41" s="386">
        <f>'3.sz.m Önk  bev.'!M40+'5.1 sz. m Köz Hiv'!M15</f>
        <v>30716446</v>
      </c>
      <c r="M41" s="386">
        <f>'3.sz.m Önk  bev.'!N40+'5.1 sz. m Köz Hiv'!N15</f>
        <v>24008967</v>
      </c>
      <c r="N41" s="298">
        <f>'3.sz.m Önk  bev.'!O40</f>
        <v>0</v>
      </c>
      <c r="O41" s="298"/>
      <c r="P41" s="298">
        <f>'3.sz.m Önk  bev.'!P40</f>
        <v>0</v>
      </c>
      <c r="Q41" s="298">
        <f>'3.sz.m Önk  bev.'!Q40+'5.1 sz. m Köz Hiv'!Q15</f>
        <v>0</v>
      </c>
      <c r="R41" s="821" t="e">
        <f t="shared" si="3"/>
        <v>#DIV/0!</v>
      </c>
      <c r="S41" s="386">
        <v>0</v>
      </c>
      <c r="T41" s="298"/>
      <c r="U41" s="298"/>
      <c r="V41" s="298"/>
      <c r="W41" s="298"/>
      <c r="X41" s="298"/>
    </row>
    <row r="42" spans="1:24" ht="33" customHeight="1" thickBot="1">
      <c r="A42" s="115" t="s">
        <v>11</v>
      </c>
      <c r="B42" s="1125" t="s">
        <v>337</v>
      </c>
      <c r="C42" s="1125"/>
      <c r="D42" s="1125"/>
      <c r="E42" s="376">
        <f>SUM(E43:E44)</f>
        <v>6000000</v>
      </c>
      <c r="F42" s="118">
        <f>SUM(F43:F44)+F48</f>
        <v>6000000</v>
      </c>
      <c r="G42" s="118">
        <f>SUM(G43:G44)+G48</f>
        <v>6000000</v>
      </c>
      <c r="H42" s="118">
        <f>SUM(H43:H44)+H48</f>
        <v>0</v>
      </c>
      <c r="I42" s="118">
        <f>SUM(I43:I44)+I48</f>
        <v>0</v>
      </c>
      <c r="J42" s="118">
        <f>SUM(J43:J44)+J48</f>
        <v>0</v>
      </c>
      <c r="K42" s="376">
        <f>SUM(K43:K44)</f>
        <v>6000000</v>
      </c>
      <c r="L42" s="118">
        <f>SUM(L43:L44)</f>
        <v>6000000</v>
      </c>
      <c r="M42" s="118">
        <f>SUM(M43:M44)</f>
        <v>6000000</v>
      </c>
      <c r="N42" s="118">
        <f>SUM(N43:N44)</f>
        <v>0</v>
      </c>
      <c r="O42" s="118"/>
      <c r="P42" s="118">
        <f>SUM(P43:P44)</f>
        <v>0</v>
      </c>
      <c r="Q42" s="118">
        <f>SUM(Q43:Q44)</f>
        <v>0</v>
      </c>
      <c r="R42" s="818" t="e">
        <f t="shared" si="3"/>
        <v>#DIV/0!</v>
      </c>
      <c r="S42" s="376">
        <f aca="true" t="shared" si="11" ref="S42:X42">SUM(S43:S44)</f>
        <v>0</v>
      </c>
      <c r="T42" s="118">
        <f t="shared" si="11"/>
        <v>0</v>
      </c>
      <c r="U42" s="118">
        <f t="shared" si="11"/>
        <v>0</v>
      </c>
      <c r="V42" s="118">
        <f t="shared" si="11"/>
        <v>0</v>
      </c>
      <c r="W42" s="118">
        <f t="shared" si="11"/>
        <v>0</v>
      </c>
      <c r="X42" s="118">
        <f t="shared" si="11"/>
        <v>0</v>
      </c>
    </row>
    <row r="43" spans="1:24" ht="21.75" customHeight="1">
      <c r="A43" s="109"/>
      <c r="B43" s="116" t="s">
        <v>338</v>
      </c>
      <c r="C43" s="1118" t="s">
        <v>340</v>
      </c>
      <c r="D43" s="1118"/>
      <c r="E43" s="386">
        <f>'3.sz.m Önk  bev.'!E42</f>
        <v>0</v>
      </c>
      <c r="F43" s="298">
        <f>'3.sz.m Önk  bev.'!F42</f>
        <v>0</v>
      </c>
      <c r="G43" s="298">
        <f>'3.sz.m Önk  bev.'!G42</f>
        <v>0</v>
      </c>
      <c r="H43" s="298">
        <f>'3.sz.m Önk  bev.'!H42</f>
        <v>0</v>
      </c>
      <c r="I43" s="298">
        <f>'3.sz.m Önk  bev.'!I42</f>
        <v>0</v>
      </c>
      <c r="J43" s="298">
        <f>'3.sz.m Önk  bev.'!J42</f>
        <v>0</v>
      </c>
      <c r="K43" s="386">
        <f>'3.sz.m Önk  bev.'!L42</f>
        <v>0</v>
      </c>
      <c r="L43" s="298">
        <f>'3.sz.m Önk  bev.'!M42</f>
        <v>0</v>
      </c>
      <c r="M43" s="298">
        <f>'3.sz.m Önk  bev.'!N42</f>
        <v>0</v>
      </c>
      <c r="N43" s="298">
        <f>'3.sz.m Önk  bev.'!O42</f>
        <v>0</v>
      </c>
      <c r="O43" s="298"/>
      <c r="P43" s="298">
        <f>'3.sz.m Önk  bev.'!P42</f>
        <v>0</v>
      </c>
      <c r="Q43" s="298">
        <f>'3.sz.m Önk  bev.'!Q42</f>
        <v>0</v>
      </c>
      <c r="R43" s="822"/>
      <c r="S43" s="386">
        <v>0</v>
      </c>
      <c r="T43" s="298"/>
      <c r="U43" s="298"/>
      <c r="V43" s="298"/>
      <c r="W43" s="298"/>
      <c r="X43" s="298"/>
    </row>
    <row r="44" spans="1:24" ht="21.75" customHeight="1">
      <c r="A44" s="108"/>
      <c r="B44" s="105" t="s">
        <v>339</v>
      </c>
      <c r="C44" s="1108" t="s">
        <v>341</v>
      </c>
      <c r="D44" s="1108"/>
      <c r="E44" s="386">
        <f aca="true" t="shared" si="12" ref="E44:N44">SUM(E45:E47)</f>
        <v>6000000</v>
      </c>
      <c r="F44" s="298">
        <f t="shared" si="12"/>
        <v>6000000</v>
      </c>
      <c r="G44" s="298">
        <f t="shared" si="12"/>
        <v>6000000</v>
      </c>
      <c r="H44" s="298">
        <f t="shared" si="12"/>
        <v>0</v>
      </c>
      <c r="I44" s="298">
        <f t="shared" si="12"/>
        <v>0</v>
      </c>
      <c r="J44" s="298">
        <f t="shared" si="12"/>
        <v>0</v>
      </c>
      <c r="K44" s="386">
        <f t="shared" si="12"/>
        <v>6000000</v>
      </c>
      <c r="L44" s="298">
        <f t="shared" si="12"/>
        <v>6000000</v>
      </c>
      <c r="M44" s="298">
        <f t="shared" si="12"/>
        <v>6000000</v>
      </c>
      <c r="N44" s="298">
        <f t="shared" si="12"/>
        <v>0</v>
      </c>
      <c r="O44" s="298"/>
      <c r="P44" s="298">
        <f>SUM(P45:P47)</f>
        <v>0</v>
      </c>
      <c r="Q44" s="298">
        <f>SUM(Q45:Q47)</f>
        <v>0</v>
      </c>
      <c r="R44" s="801" t="e">
        <f t="shared" si="3"/>
        <v>#DIV/0!</v>
      </c>
      <c r="S44" s="386">
        <v>0</v>
      </c>
      <c r="T44" s="298"/>
      <c r="U44" s="298"/>
      <c r="V44" s="298"/>
      <c r="W44" s="298"/>
      <c r="X44" s="298"/>
    </row>
    <row r="45" spans="1:24" ht="21.75" customHeight="1">
      <c r="A45" s="108"/>
      <c r="B45" s="116"/>
      <c r="C45" s="110" t="s">
        <v>342</v>
      </c>
      <c r="D45" s="664" t="s">
        <v>36</v>
      </c>
      <c r="E45" s="386">
        <f>'3.sz.m Önk  bev.'!E44</f>
        <v>0</v>
      </c>
      <c r="F45" s="298">
        <f>'3.sz.m Önk  bev.'!F44</f>
        <v>0</v>
      </c>
      <c r="G45" s="298">
        <f>'3.sz.m Önk  bev.'!G44</f>
        <v>0</v>
      </c>
      <c r="H45" s="298">
        <f>'3.sz.m Önk  bev.'!H44</f>
        <v>0</v>
      </c>
      <c r="I45" s="298">
        <f>'3.sz.m Önk  bev.'!I44</f>
        <v>0</v>
      </c>
      <c r="J45" s="298">
        <f>'3.sz.m Önk  bev.'!J44</f>
        <v>0</v>
      </c>
      <c r="K45" s="386">
        <f>'3.sz.m Önk  bev.'!L44</f>
        <v>0</v>
      </c>
      <c r="L45" s="298">
        <f>'3.sz.m Önk  bev.'!M44</f>
        <v>0</v>
      </c>
      <c r="M45" s="298">
        <f>'3.sz.m Önk  bev.'!N44</f>
        <v>0</v>
      </c>
      <c r="N45" s="298">
        <f>'3.sz.m Önk  bev.'!O44</f>
        <v>0</v>
      </c>
      <c r="O45" s="298"/>
      <c r="P45" s="298">
        <f>'3.sz.m Önk  bev.'!P44</f>
        <v>0</v>
      </c>
      <c r="Q45" s="298">
        <f>'3.sz.m Önk  bev.'!Q44</f>
        <v>0</v>
      </c>
      <c r="R45" s="801"/>
      <c r="S45" s="386">
        <v>0</v>
      </c>
      <c r="T45" s="298"/>
      <c r="U45" s="298"/>
      <c r="V45" s="298"/>
      <c r="W45" s="298"/>
      <c r="X45" s="298"/>
    </row>
    <row r="46" spans="1:24" ht="21.75" customHeight="1">
      <c r="A46" s="108"/>
      <c r="B46" s="105"/>
      <c r="C46" s="104" t="s">
        <v>343</v>
      </c>
      <c r="D46" s="664" t="s">
        <v>35</v>
      </c>
      <c r="E46" s="386">
        <f>'3.sz.m Önk  bev.'!E45</f>
        <v>0</v>
      </c>
      <c r="F46" s="298">
        <f>'3.sz.m Önk  bev.'!F45</f>
        <v>0</v>
      </c>
      <c r="G46" s="298">
        <f>'3.sz.m Önk  bev.'!G45</f>
        <v>0</v>
      </c>
      <c r="H46" s="298">
        <f>'3.sz.m Önk  bev.'!H45</f>
        <v>0</v>
      </c>
      <c r="I46" s="298">
        <f>'3.sz.m Önk  bev.'!I45</f>
        <v>0</v>
      </c>
      <c r="J46" s="298">
        <f>'3.sz.m Önk  bev.'!J45</f>
        <v>0</v>
      </c>
      <c r="K46" s="386">
        <f>'3.sz.m Önk  bev.'!L45</f>
        <v>0</v>
      </c>
      <c r="L46" s="298">
        <f>'3.sz.m Önk  bev.'!M45</f>
        <v>0</v>
      </c>
      <c r="M46" s="298">
        <f>'3.sz.m Önk  bev.'!N45</f>
        <v>0</v>
      </c>
      <c r="N46" s="298">
        <f>'3.sz.m Önk  bev.'!O45</f>
        <v>0</v>
      </c>
      <c r="O46" s="298"/>
      <c r="P46" s="298">
        <f>'3.sz.m Önk  bev.'!P45</f>
        <v>0</v>
      </c>
      <c r="Q46" s="298">
        <f>'3.sz.m Önk  bev.'!Q45</f>
        <v>0</v>
      </c>
      <c r="R46" s="801"/>
      <c r="S46" s="386">
        <v>0</v>
      </c>
      <c r="T46" s="298"/>
      <c r="U46" s="298"/>
      <c r="V46" s="298"/>
      <c r="W46" s="298"/>
      <c r="X46" s="298"/>
    </row>
    <row r="47" spans="1:24" ht="21.75" customHeight="1">
      <c r="A47" s="112"/>
      <c r="B47" s="116"/>
      <c r="C47" s="110" t="s">
        <v>344</v>
      </c>
      <c r="D47" s="664" t="s">
        <v>345</v>
      </c>
      <c r="E47" s="386">
        <f>'3.sz.m Önk  bev.'!E46</f>
        <v>6000000</v>
      </c>
      <c r="F47" s="298">
        <f>'3.sz.m Önk  bev.'!F46</f>
        <v>6000000</v>
      </c>
      <c r="G47" s="298">
        <f>'3.sz.m Önk  bev.'!G46</f>
        <v>6000000</v>
      </c>
      <c r="H47" s="298">
        <f>'3.sz.m Önk  bev.'!H46</f>
        <v>0</v>
      </c>
      <c r="I47" s="298">
        <f>'3.sz.m Önk  bev.'!I46</f>
        <v>0</v>
      </c>
      <c r="J47" s="298">
        <f>'3.sz.m Önk  bev.'!J46</f>
        <v>0</v>
      </c>
      <c r="K47" s="386">
        <f>'3.sz.m Önk  bev.'!L46</f>
        <v>6000000</v>
      </c>
      <c r="L47" s="298">
        <f>'3.sz.m Önk  bev.'!M46</f>
        <v>6000000</v>
      </c>
      <c r="M47" s="298">
        <f>'3.sz.m Önk  bev.'!N46</f>
        <v>6000000</v>
      </c>
      <c r="N47" s="298">
        <f>'3.sz.m Önk  bev.'!O46</f>
        <v>0</v>
      </c>
      <c r="O47" s="298"/>
      <c r="P47" s="298">
        <f>'3.sz.m Önk  bev.'!P46</f>
        <v>0</v>
      </c>
      <c r="Q47" s="298">
        <f>'3.sz.m Önk  bev.'!Q46</f>
        <v>0</v>
      </c>
      <c r="R47" s="801" t="e">
        <f t="shared" si="3"/>
        <v>#DIV/0!</v>
      </c>
      <c r="S47" s="386">
        <v>0</v>
      </c>
      <c r="T47" s="298"/>
      <c r="U47" s="298"/>
      <c r="V47" s="298"/>
      <c r="W47" s="298"/>
      <c r="X47" s="298"/>
    </row>
    <row r="48" spans="1:24" ht="21.75" customHeight="1" thickBot="1">
      <c r="A48" s="392"/>
      <c r="B48" s="105" t="s">
        <v>373</v>
      </c>
      <c r="C48" s="1108" t="s">
        <v>374</v>
      </c>
      <c r="D48" s="1123"/>
      <c r="E48" s="386"/>
      <c r="F48" s="298">
        <f>'3.sz.m Önk  bev.'!F47</f>
        <v>0</v>
      </c>
      <c r="G48" s="298">
        <f>'3.sz.m Önk  bev.'!G47</f>
        <v>0</v>
      </c>
      <c r="H48" s="298">
        <f>'3.sz.m Önk  bev.'!H47</f>
        <v>0</v>
      </c>
      <c r="I48" s="298">
        <f>'3.sz.m Önk  bev.'!I47</f>
        <v>0</v>
      </c>
      <c r="J48" s="298">
        <f>'3.sz.m Önk  bev.'!J47</f>
        <v>0</v>
      </c>
      <c r="K48" s="386"/>
      <c r="L48" s="298"/>
      <c r="M48" s="298"/>
      <c r="N48" s="298"/>
      <c r="O48" s="298"/>
      <c r="P48" s="298"/>
      <c r="Q48" s="298"/>
      <c r="R48" s="801"/>
      <c r="S48" s="386">
        <v>0</v>
      </c>
      <c r="T48" s="298"/>
      <c r="U48" s="298"/>
      <c r="V48" s="298"/>
      <c r="W48" s="298"/>
      <c r="X48" s="298"/>
    </row>
    <row r="49" spans="1:24" ht="21.75" customHeight="1" hidden="1" thickBot="1">
      <c r="A49" s="392"/>
      <c r="B49" s="116"/>
      <c r="C49" s="1128"/>
      <c r="D49" s="1129"/>
      <c r="E49" s="603"/>
      <c r="F49" s="604"/>
      <c r="G49" s="604"/>
      <c r="H49" s="604"/>
      <c r="I49" s="604"/>
      <c r="J49" s="604"/>
      <c r="K49" s="603"/>
      <c r="L49" s="604"/>
      <c r="M49" s="604"/>
      <c r="N49" s="604"/>
      <c r="O49" s="604"/>
      <c r="P49" s="604"/>
      <c r="Q49" s="604"/>
      <c r="R49" s="802" t="e">
        <f t="shared" si="3"/>
        <v>#DIV/0!</v>
      </c>
      <c r="S49" s="603"/>
      <c r="T49" s="604"/>
      <c r="U49" s="604"/>
      <c r="V49" s="604"/>
      <c r="W49" s="604"/>
      <c r="X49" s="604"/>
    </row>
    <row r="50" spans="1:24" ht="21.75" customHeight="1" thickBot="1">
      <c r="A50" s="115" t="s">
        <v>12</v>
      </c>
      <c r="B50" s="1115" t="s">
        <v>79</v>
      </c>
      <c r="C50" s="1115"/>
      <c r="D50" s="1115"/>
      <c r="E50" s="376">
        <f aca="true" t="shared" si="13" ref="E50:N50">E51+E52</f>
        <v>60000</v>
      </c>
      <c r="F50" s="118">
        <f t="shared" si="13"/>
        <v>60000</v>
      </c>
      <c r="G50" s="118">
        <f t="shared" si="13"/>
        <v>360000</v>
      </c>
      <c r="H50" s="118">
        <f t="shared" si="13"/>
        <v>0</v>
      </c>
      <c r="I50" s="118">
        <f t="shared" si="13"/>
        <v>0</v>
      </c>
      <c r="J50" s="118">
        <f t="shared" si="13"/>
        <v>0</v>
      </c>
      <c r="K50" s="376">
        <f t="shared" si="13"/>
        <v>60000</v>
      </c>
      <c r="L50" s="118">
        <f t="shared" si="13"/>
        <v>60000</v>
      </c>
      <c r="M50" s="118">
        <f t="shared" si="13"/>
        <v>360000</v>
      </c>
      <c r="N50" s="118">
        <f t="shared" si="13"/>
        <v>0</v>
      </c>
      <c r="O50" s="118"/>
      <c r="P50" s="118">
        <f>P51+P52</f>
        <v>0</v>
      </c>
      <c r="Q50" s="118">
        <f>Q51+Q52</f>
        <v>0</v>
      </c>
      <c r="R50" s="818" t="e">
        <f t="shared" si="3"/>
        <v>#DIV/0!</v>
      </c>
      <c r="S50" s="376">
        <f aca="true" t="shared" si="14" ref="S50:X50">S51+S52</f>
        <v>0</v>
      </c>
      <c r="T50" s="118">
        <f t="shared" si="14"/>
        <v>0</v>
      </c>
      <c r="U50" s="118">
        <f t="shared" si="14"/>
        <v>0</v>
      </c>
      <c r="V50" s="118">
        <f t="shared" si="14"/>
        <v>0</v>
      </c>
      <c r="W50" s="118">
        <f t="shared" si="14"/>
        <v>0</v>
      </c>
      <c r="X50" s="118">
        <f t="shared" si="14"/>
        <v>0</v>
      </c>
    </row>
    <row r="51" spans="1:24" s="7" customFormat="1" ht="21.75" customHeight="1">
      <c r="A51" s="117"/>
      <c r="B51" s="116" t="s">
        <v>47</v>
      </c>
      <c r="C51" s="1118" t="s">
        <v>77</v>
      </c>
      <c r="D51" s="1118"/>
      <c r="E51" s="386">
        <f>'3.sz.m Önk  bev.'!E50</f>
        <v>60000</v>
      </c>
      <c r="F51" s="298">
        <f>'3.sz.m Önk  bev.'!F50</f>
        <v>60000</v>
      </c>
      <c r="G51" s="298">
        <f>'3.sz.m Önk  bev.'!G50</f>
        <v>60000</v>
      </c>
      <c r="H51" s="298">
        <f>'3.sz.m Önk  bev.'!H50</f>
        <v>0</v>
      </c>
      <c r="I51" s="298">
        <f>'3.sz.m Önk  bev.'!I50</f>
        <v>0</v>
      </c>
      <c r="J51" s="298">
        <f>'3.sz.m Önk  bev.'!J50+'5.2 sz. m ÁMK'!I24</f>
        <v>0</v>
      </c>
      <c r="K51" s="386">
        <f>'3.sz.m Önk  bev.'!L50</f>
        <v>60000</v>
      </c>
      <c r="L51" s="298">
        <f>'3.sz.m Önk  bev.'!M50</f>
        <v>60000</v>
      </c>
      <c r="M51" s="298">
        <f>'3.sz.m Önk  bev.'!N50</f>
        <v>60000</v>
      </c>
      <c r="N51" s="298">
        <f>'3.sz.m Önk  bev.'!O50</f>
        <v>0</v>
      </c>
      <c r="O51" s="298"/>
      <c r="P51" s="298">
        <f>'3.sz.m Önk  bev.'!P50</f>
        <v>0</v>
      </c>
      <c r="Q51" s="298">
        <f>'3.sz.m Önk  bev.'!Q50+'5.2 sz. m ÁMK'!Q24</f>
        <v>0</v>
      </c>
      <c r="R51" s="801" t="e">
        <f t="shared" si="3"/>
        <v>#DIV/0!</v>
      </c>
      <c r="S51" s="386">
        <v>0</v>
      </c>
      <c r="T51" s="298"/>
      <c r="U51" s="298"/>
      <c r="V51" s="298"/>
      <c r="W51" s="298"/>
      <c r="X51" s="298"/>
    </row>
    <row r="52" spans="1:24" ht="21.75" customHeight="1" thickBot="1">
      <c r="A52" s="108"/>
      <c r="B52" s="104" t="s">
        <v>48</v>
      </c>
      <c r="C52" s="1108" t="s">
        <v>592</v>
      </c>
      <c r="D52" s="1108"/>
      <c r="E52" s="386">
        <f>'3.sz.m Önk  bev.'!E51</f>
        <v>0</v>
      </c>
      <c r="F52" s="298">
        <f>'3.sz.m Önk  bev.'!F51</f>
        <v>0</v>
      </c>
      <c r="G52" s="298">
        <f>'3.sz.m Önk  bev.'!G51</f>
        <v>300000</v>
      </c>
      <c r="H52" s="298">
        <f>'3.sz.m Önk  bev.'!H51</f>
        <v>0</v>
      </c>
      <c r="I52" s="298">
        <f>'3.sz.m Önk  bev.'!I51</f>
        <v>0</v>
      </c>
      <c r="J52" s="298">
        <f>'3.sz.m Önk  bev.'!J51</f>
        <v>0</v>
      </c>
      <c r="K52" s="386">
        <f>'3.sz.m Önk  bev.'!L51</f>
        <v>0</v>
      </c>
      <c r="L52" s="298">
        <f>'3.sz.m Önk  bev.'!M51</f>
        <v>0</v>
      </c>
      <c r="M52" s="298">
        <f>'3.sz.m Önk  bev.'!N51</f>
        <v>300000</v>
      </c>
      <c r="N52" s="298">
        <f>'3.sz.m Önk  bev.'!O51</f>
        <v>0</v>
      </c>
      <c r="O52" s="298"/>
      <c r="P52" s="298">
        <f>'3.sz.m Önk  bev.'!P51</f>
        <v>0</v>
      </c>
      <c r="Q52" s="298">
        <f>'3.sz.m Önk  bev.'!Q51</f>
        <v>0</v>
      </c>
      <c r="R52" s="823"/>
      <c r="S52" s="386">
        <v>0</v>
      </c>
      <c r="T52" s="298"/>
      <c r="U52" s="298"/>
      <c r="V52" s="298"/>
      <c r="W52" s="298"/>
      <c r="X52" s="298"/>
    </row>
    <row r="53" spans="1:24" ht="21.75" customHeight="1" thickBot="1">
      <c r="A53" s="115" t="s">
        <v>13</v>
      </c>
      <c r="B53" s="1115" t="s">
        <v>346</v>
      </c>
      <c r="C53" s="1115"/>
      <c r="D53" s="1115"/>
      <c r="E53" s="371">
        <f aca="true" t="shared" si="15" ref="E53:N53">SUM(E54:E55)</f>
        <v>0</v>
      </c>
      <c r="F53" s="300">
        <f t="shared" si="15"/>
        <v>0</v>
      </c>
      <c r="G53" s="300">
        <f t="shared" si="15"/>
        <v>4115</v>
      </c>
      <c r="H53" s="300">
        <f t="shared" si="15"/>
        <v>0</v>
      </c>
      <c r="I53" s="300">
        <f t="shared" si="15"/>
        <v>0</v>
      </c>
      <c r="J53" s="300">
        <f t="shared" si="15"/>
        <v>0</v>
      </c>
      <c r="K53" s="371">
        <f t="shared" si="15"/>
        <v>0</v>
      </c>
      <c r="L53" s="300">
        <f t="shared" si="15"/>
        <v>0</v>
      </c>
      <c r="M53" s="300">
        <f t="shared" si="15"/>
        <v>4115</v>
      </c>
      <c r="N53" s="300">
        <f t="shared" si="15"/>
        <v>0</v>
      </c>
      <c r="O53" s="300"/>
      <c r="P53" s="300">
        <f>SUM(P54:P55)</f>
        <v>0</v>
      </c>
      <c r="Q53" s="300">
        <f>SUM(Q54:Q55)</f>
        <v>0</v>
      </c>
      <c r="R53" s="818" t="e">
        <f t="shared" si="3"/>
        <v>#DIV/0!</v>
      </c>
      <c r="S53" s="371">
        <f aca="true" t="shared" si="16" ref="S53:X53">SUM(S54:S55)</f>
        <v>0</v>
      </c>
      <c r="T53" s="300">
        <f t="shared" si="16"/>
        <v>0</v>
      </c>
      <c r="U53" s="300">
        <f t="shared" si="16"/>
        <v>0</v>
      </c>
      <c r="V53" s="300">
        <f t="shared" si="16"/>
        <v>0</v>
      </c>
      <c r="W53" s="300">
        <f t="shared" si="16"/>
        <v>0</v>
      </c>
      <c r="X53" s="300">
        <f t="shared" si="16"/>
        <v>0</v>
      </c>
    </row>
    <row r="54" spans="1:24" s="7" customFormat="1" ht="21.75" customHeight="1">
      <c r="A54" s="117"/>
      <c r="B54" s="110" t="s">
        <v>49</v>
      </c>
      <c r="C54" s="1118" t="s">
        <v>348</v>
      </c>
      <c r="D54" s="1118"/>
      <c r="E54" s="389">
        <f>'3.sz.m Önk  bev.'!E53</f>
        <v>0</v>
      </c>
      <c r="F54" s="301">
        <f>'3.sz.m Önk  bev.'!F53</f>
        <v>0</v>
      </c>
      <c r="G54" s="301">
        <f>'3.sz.m Önk  bev.'!G53</f>
        <v>4115</v>
      </c>
      <c r="H54" s="301">
        <f>'3.sz.m Önk  bev.'!H53</f>
        <v>0</v>
      </c>
      <c r="I54" s="301">
        <f>'3.sz.m Önk  bev.'!I53</f>
        <v>0</v>
      </c>
      <c r="J54" s="301">
        <f>'3.sz.m Önk  bev.'!J53</f>
        <v>0</v>
      </c>
      <c r="K54" s="389">
        <f>'3.sz.m Önk  bev.'!L53</f>
        <v>0</v>
      </c>
      <c r="L54" s="301">
        <f>'3.sz.m Önk  bev.'!M53</f>
        <v>0</v>
      </c>
      <c r="M54" s="301">
        <f>'3.sz.m Önk  bev.'!N53</f>
        <v>4115</v>
      </c>
      <c r="N54" s="301">
        <f>'3.sz.m Önk  bev.'!O53</f>
        <v>0</v>
      </c>
      <c r="O54" s="301"/>
      <c r="P54" s="301">
        <f>'3.sz.m Önk  bev.'!P53</f>
        <v>0</v>
      </c>
      <c r="Q54" s="301">
        <f>'3.sz.m Önk  bev.'!Q53</f>
        <v>0</v>
      </c>
      <c r="R54" s="801" t="e">
        <f t="shared" si="3"/>
        <v>#DIV/0!</v>
      </c>
      <c r="S54" s="389">
        <v>0</v>
      </c>
      <c r="T54" s="301"/>
      <c r="U54" s="301"/>
      <c r="V54" s="301"/>
      <c r="W54" s="301"/>
      <c r="X54" s="301"/>
    </row>
    <row r="55" spans="1:24" ht="21.75" customHeight="1" thickBot="1">
      <c r="A55" s="112"/>
      <c r="B55" s="113" t="s">
        <v>347</v>
      </c>
      <c r="C55" s="1124" t="s">
        <v>349</v>
      </c>
      <c r="D55" s="1124"/>
      <c r="E55" s="387">
        <v>0</v>
      </c>
      <c r="F55" s="388">
        <v>0</v>
      </c>
      <c r="G55" s="388">
        <v>0</v>
      </c>
      <c r="H55" s="388">
        <v>0</v>
      </c>
      <c r="I55" s="388">
        <v>0</v>
      </c>
      <c r="J55" s="388">
        <v>0</v>
      </c>
      <c r="K55" s="387">
        <v>0</v>
      </c>
      <c r="L55" s="388">
        <v>0</v>
      </c>
      <c r="M55" s="388">
        <v>0</v>
      </c>
      <c r="N55" s="388"/>
      <c r="O55" s="388"/>
      <c r="P55" s="388"/>
      <c r="Q55" s="388"/>
      <c r="R55" s="826"/>
      <c r="S55" s="387">
        <v>0</v>
      </c>
      <c r="T55" s="388"/>
      <c r="U55" s="388"/>
      <c r="V55" s="388"/>
      <c r="W55" s="388"/>
      <c r="X55" s="388"/>
    </row>
    <row r="56" spans="1:24" ht="21.75" customHeight="1" thickBot="1">
      <c r="A56" s="115" t="s">
        <v>14</v>
      </c>
      <c r="B56" s="1132" t="s">
        <v>81</v>
      </c>
      <c r="C56" s="1132"/>
      <c r="D56" s="1132"/>
      <c r="E56" s="371">
        <f aca="true" t="shared" si="17" ref="E56:N56">E7+E21+E42+E50+E53+E33</f>
        <v>466508951</v>
      </c>
      <c r="F56" s="300">
        <f t="shared" si="17"/>
        <v>466508951</v>
      </c>
      <c r="G56" s="300">
        <f t="shared" si="17"/>
        <v>470255614</v>
      </c>
      <c r="H56" s="300">
        <f t="shared" si="17"/>
        <v>0</v>
      </c>
      <c r="I56" s="300">
        <f t="shared" si="17"/>
        <v>0</v>
      </c>
      <c r="J56" s="300">
        <f t="shared" si="17"/>
        <v>0</v>
      </c>
      <c r="K56" s="371">
        <f t="shared" si="17"/>
        <v>445861158</v>
      </c>
      <c r="L56" s="300">
        <f t="shared" si="17"/>
        <v>445861158</v>
      </c>
      <c r="M56" s="300">
        <f t="shared" si="17"/>
        <v>449597821</v>
      </c>
      <c r="N56" s="300">
        <f t="shared" si="17"/>
        <v>0</v>
      </c>
      <c r="O56" s="300"/>
      <c r="P56" s="300">
        <f>P7+P21+P42+P50+P53+P33</f>
        <v>0</v>
      </c>
      <c r="Q56" s="300">
        <f>Q7+Q21+Q42+Q50+Q53+Q33</f>
        <v>0</v>
      </c>
      <c r="R56" s="824" t="e">
        <f t="shared" si="3"/>
        <v>#DIV/0!</v>
      </c>
      <c r="S56" s="371">
        <f aca="true" t="shared" si="18" ref="S56:X56">S7+S21+S42+S50+S53+S33</f>
        <v>20647793</v>
      </c>
      <c r="T56" s="300">
        <f t="shared" si="18"/>
        <v>20647793</v>
      </c>
      <c r="U56" s="300">
        <f t="shared" si="18"/>
        <v>20657793</v>
      </c>
      <c r="V56" s="300">
        <f t="shared" si="18"/>
        <v>0</v>
      </c>
      <c r="W56" s="300">
        <f t="shared" si="18"/>
        <v>0</v>
      </c>
      <c r="X56" s="300">
        <f t="shared" si="18"/>
        <v>0</v>
      </c>
    </row>
    <row r="57" spans="1:24" ht="24" customHeight="1" thickBot="1">
      <c r="A57" s="111" t="s">
        <v>62</v>
      </c>
      <c r="B57" s="1115" t="s">
        <v>350</v>
      </c>
      <c r="C57" s="1115"/>
      <c r="D57" s="1115"/>
      <c r="E57" s="371">
        <f aca="true" t="shared" si="19" ref="E57:N57">SUM(E58:E60)</f>
        <v>150569128</v>
      </c>
      <c r="F57" s="300">
        <f t="shared" si="19"/>
        <v>150569128</v>
      </c>
      <c r="G57" s="300">
        <f t="shared" si="19"/>
        <v>146881965</v>
      </c>
      <c r="H57" s="300">
        <f t="shared" si="19"/>
        <v>0</v>
      </c>
      <c r="I57" s="300">
        <f t="shared" si="19"/>
        <v>0</v>
      </c>
      <c r="J57" s="300">
        <f t="shared" si="19"/>
        <v>0</v>
      </c>
      <c r="K57" s="371">
        <f t="shared" si="19"/>
        <v>150569128</v>
      </c>
      <c r="L57" s="300">
        <f t="shared" si="19"/>
        <v>150569128</v>
      </c>
      <c r="M57" s="300">
        <f t="shared" si="19"/>
        <v>146881965</v>
      </c>
      <c r="N57" s="300">
        <f t="shared" si="19"/>
        <v>0</v>
      </c>
      <c r="O57" s="300"/>
      <c r="P57" s="300">
        <f>SUM(P58:P60)</f>
        <v>0</v>
      </c>
      <c r="Q57" s="300">
        <f>SUM(Q58:Q60)</f>
        <v>0</v>
      </c>
      <c r="R57" s="824" t="e">
        <f t="shared" si="3"/>
        <v>#DIV/0!</v>
      </c>
      <c r="S57" s="371">
        <f aca="true" t="shared" si="20" ref="S57:X57">SUM(S58:S60)</f>
        <v>0</v>
      </c>
      <c r="T57" s="300">
        <f t="shared" si="20"/>
        <v>0</v>
      </c>
      <c r="U57" s="300">
        <f t="shared" si="20"/>
        <v>0</v>
      </c>
      <c r="V57" s="300">
        <f t="shared" si="20"/>
        <v>0</v>
      </c>
      <c r="W57" s="300">
        <f t="shared" si="20"/>
        <v>0</v>
      </c>
      <c r="X57" s="300">
        <f t="shared" si="20"/>
        <v>0</v>
      </c>
    </row>
    <row r="58" spans="1:24" ht="21.75" customHeight="1">
      <c r="A58" s="109"/>
      <c r="B58" s="110" t="s">
        <v>50</v>
      </c>
      <c r="C58" s="1118" t="s">
        <v>351</v>
      </c>
      <c r="D58" s="1118"/>
      <c r="E58" s="386">
        <f>'3.sz.m Önk  bev.'!E57</f>
        <v>12000000</v>
      </c>
      <c r="F58" s="298">
        <f>'3.sz.m Önk  bev.'!F57</f>
        <v>12000000</v>
      </c>
      <c r="G58" s="298">
        <f>'3.sz.m Önk  bev.'!G57</f>
        <v>8315281</v>
      </c>
      <c r="H58" s="298">
        <f>'3.sz.m Önk  bev.'!H57</f>
        <v>0</v>
      </c>
      <c r="I58" s="298">
        <f>'3.sz.m Önk  bev.'!I57</f>
        <v>0</v>
      </c>
      <c r="J58" s="298">
        <f>'3.sz.m Önk  bev.'!J57</f>
        <v>0</v>
      </c>
      <c r="K58" s="386">
        <f>'3.sz.m Önk  bev.'!L57</f>
        <v>12000000</v>
      </c>
      <c r="L58" s="298">
        <f>'3.sz.m Önk  bev.'!M57</f>
        <v>12000000</v>
      </c>
      <c r="M58" s="298">
        <f>'3.sz.m Önk  bev.'!N57</f>
        <v>8315281</v>
      </c>
      <c r="N58" s="298">
        <f>H58</f>
        <v>0</v>
      </c>
      <c r="O58" s="298"/>
      <c r="P58" s="298">
        <f>I58</f>
        <v>0</v>
      </c>
      <c r="Q58" s="298">
        <f>J58</f>
        <v>0</v>
      </c>
      <c r="R58" s="825" t="e">
        <f t="shared" si="3"/>
        <v>#DIV/0!</v>
      </c>
      <c r="S58" s="386">
        <v>0</v>
      </c>
      <c r="T58" s="298"/>
      <c r="U58" s="298"/>
      <c r="V58" s="298"/>
      <c r="W58" s="298"/>
      <c r="X58" s="298"/>
    </row>
    <row r="59" spans="1:24" ht="21.75" customHeight="1">
      <c r="A59" s="108"/>
      <c r="B59" s="105" t="s">
        <v>51</v>
      </c>
      <c r="C59" s="1118" t="s">
        <v>531</v>
      </c>
      <c r="D59" s="1118"/>
      <c r="E59" s="386">
        <f>'3.sz.m Önk  bev.'!E58</f>
        <v>0</v>
      </c>
      <c r="F59" s="298">
        <f>'3.sz.m Önk  bev.'!F58</f>
        <v>0</v>
      </c>
      <c r="G59" s="298">
        <f>'3.sz.m Önk  bev.'!G58</f>
        <v>0</v>
      </c>
      <c r="H59" s="298">
        <f>'3.sz.m Önk  bev.'!H58</f>
        <v>0</v>
      </c>
      <c r="I59" s="298">
        <f>'3.sz.m Önk  bev.'!I58</f>
        <v>0</v>
      </c>
      <c r="J59" s="298">
        <f>'3.sz.m Önk  bev.'!J58</f>
        <v>0</v>
      </c>
      <c r="K59" s="386">
        <f>'3.sz.m Önk  bev.'!L58</f>
        <v>0</v>
      </c>
      <c r="L59" s="298">
        <f>'3.sz.m Önk  bev.'!M58</f>
        <v>0</v>
      </c>
      <c r="M59" s="298">
        <f>'3.sz.m Önk  bev.'!N58</f>
        <v>0</v>
      </c>
      <c r="N59" s="298">
        <f>'3.sz.m Önk  bev.'!O58</f>
        <v>0</v>
      </c>
      <c r="O59" s="298"/>
      <c r="P59" s="298">
        <f>'3.sz.m Önk  bev.'!P58</f>
        <v>0</v>
      </c>
      <c r="Q59" s="298">
        <f>'3.sz.m Önk  bev.'!Q58</f>
        <v>0</v>
      </c>
      <c r="R59" s="827"/>
      <c r="S59" s="386">
        <v>0</v>
      </c>
      <c r="T59" s="298"/>
      <c r="U59" s="298"/>
      <c r="V59" s="298"/>
      <c r="W59" s="298"/>
      <c r="X59" s="298"/>
    </row>
    <row r="60" spans="1:24" ht="21.75" customHeight="1" thickBot="1">
      <c r="A60" s="108"/>
      <c r="B60" s="105" t="s">
        <v>80</v>
      </c>
      <c r="C60" s="1118" t="s">
        <v>352</v>
      </c>
      <c r="D60" s="1118"/>
      <c r="E60" s="386">
        <f>'3.sz.m Önk  bev.'!E59+'5.1 sz. m Köz Hiv'!D25+'5.2 sz. m ÁMK'!D29</f>
        <v>138569128</v>
      </c>
      <c r="F60" s="298">
        <f>'3.sz.m Önk  bev.'!F59+'5.1 sz. m Köz Hiv'!E25+'5.2 sz. m ÁMK'!E29</f>
        <v>138569128</v>
      </c>
      <c r="G60" s="298">
        <f>'3.sz.m Önk  bev.'!G59+'5.1 sz. m Köz Hiv'!F25+'5.2 sz. m ÁMK'!F29</f>
        <v>138566684</v>
      </c>
      <c r="H60" s="298">
        <f>'3.sz.m Önk  bev.'!H59+'5.1 sz. m Köz Hiv'!G25+'5.2 sz. m ÁMK'!G29</f>
        <v>0</v>
      </c>
      <c r="I60" s="298">
        <f>'3.sz.m Önk  bev.'!I59+'5.1 sz. m Köz Hiv'!H25+'5.2 sz. m ÁMK'!H29</f>
        <v>0</v>
      </c>
      <c r="J60" s="298">
        <f>'3.sz.m Önk  bev.'!J59+'5.1 sz. m Köz Hiv'!I25+'5.2 sz. m ÁMK'!I29</f>
        <v>0</v>
      </c>
      <c r="K60" s="386">
        <f>'3.sz.m Önk  bev.'!L59+'5.1 sz. m Köz Hiv'!L25+'5.2 sz. m ÁMK'!L29</f>
        <v>138569128</v>
      </c>
      <c r="L60" s="298">
        <f>'3.sz.m Önk  bev.'!M59+'5.1 sz. m Köz Hiv'!M25+'5.2 sz. m ÁMK'!M29</f>
        <v>138569128</v>
      </c>
      <c r="M60" s="298">
        <f>'3.sz.m Önk  bev.'!N59+'5.1 sz. m Köz Hiv'!N25+'5.2 sz. m ÁMK'!N29</f>
        <v>138566684</v>
      </c>
      <c r="N60" s="298">
        <f>'3.sz.m Önk  bev.'!O59+'5.1 sz. m Köz Hiv'!O25+'5.2 sz. m ÁMK'!O29</f>
        <v>0</v>
      </c>
      <c r="O60" s="298"/>
      <c r="P60" s="298">
        <f>'3.sz.m Önk  bev.'!P59+'5.1 sz. m Köz Hiv'!P25+'5.2 sz. m ÁMK'!P29</f>
        <v>0</v>
      </c>
      <c r="Q60" s="298">
        <f>'3.sz.m Önk  bev.'!Q59+'5.1 sz. m Köz Hiv'!Q25+'5.2 sz. m ÁMK'!Q29</f>
        <v>0</v>
      </c>
      <c r="R60" s="827" t="e">
        <f>P60/N60</f>
        <v>#DIV/0!</v>
      </c>
      <c r="S60" s="386">
        <v>0</v>
      </c>
      <c r="T60" s="298"/>
      <c r="U60" s="298"/>
      <c r="V60" s="298"/>
      <c r="W60" s="298"/>
      <c r="X60" s="298"/>
    </row>
    <row r="61" spans="1:24" ht="35.25" customHeight="1" thickBot="1">
      <c r="A61" s="115" t="s">
        <v>63</v>
      </c>
      <c r="B61" s="1131" t="s">
        <v>82</v>
      </c>
      <c r="C61" s="1131"/>
      <c r="D61" s="1131"/>
      <c r="E61" s="373">
        <f aca="true" t="shared" si="21" ref="E61:N61">E56+E57</f>
        <v>617078079</v>
      </c>
      <c r="F61" s="79">
        <f t="shared" si="21"/>
        <v>617078079</v>
      </c>
      <c r="G61" s="79">
        <f t="shared" si="21"/>
        <v>617137579</v>
      </c>
      <c r="H61" s="79">
        <f t="shared" si="21"/>
        <v>0</v>
      </c>
      <c r="I61" s="79">
        <f t="shared" si="21"/>
        <v>0</v>
      </c>
      <c r="J61" s="79">
        <f t="shared" si="21"/>
        <v>0</v>
      </c>
      <c r="K61" s="373">
        <f t="shared" si="21"/>
        <v>596430286</v>
      </c>
      <c r="L61" s="79">
        <f t="shared" si="21"/>
        <v>596430286</v>
      </c>
      <c r="M61" s="79">
        <f t="shared" si="21"/>
        <v>596479786</v>
      </c>
      <c r="N61" s="79">
        <f t="shared" si="21"/>
        <v>0</v>
      </c>
      <c r="O61" s="79"/>
      <c r="P61" s="79">
        <f>P56+P57</f>
        <v>0</v>
      </c>
      <c r="Q61" s="79">
        <f>Q56+Q57</f>
        <v>0</v>
      </c>
      <c r="R61" s="828" t="e">
        <f t="shared" si="3"/>
        <v>#DIV/0!</v>
      </c>
      <c r="S61" s="373">
        <f aca="true" t="shared" si="22" ref="S61:X61">S56+S57</f>
        <v>20647793</v>
      </c>
      <c r="T61" s="79">
        <f t="shared" si="22"/>
        <v>20647793</v>
      </c>
      <c r="U61" s="79">
        <f t="shared" si="22"/>
        <v>20657793</v>
      </c>
      <c r="V61" s="79">
        <f t="shared" si="22"/>
        <v>0</v>
      </c>
      <c r="W61" s="79">
        <f t="shared" si="22"/>
        <v>0</v>
      </c>
      <c r="X61" s="79">
        <f t="shared" si="22"/>
        <v>0</v>
      </c>
    </row>
    <row r="62" spans="1:24" ht="21.75" customHeight="1" hidden="1" thickBot="1">
      <c r="A62" s="1126" t="s">
        <v>262</v>
      </c>
      <c r="B62" s="1127"/>
      <c r="C62" s="1127"/>
      <c r="D62" s="1127"/>
      <c r="E62" s="605"/>
      <c r="F62" s="606"/>
      <c r="G62" s="606"/>
      <c r="H62" s="606"/>
      <c r="I62" s="606"/>
      <c r="J62" s="606"/>
      <c r="K62" s="605"/>
      <c r="L62" s="606"/>
      <c r="M62" s="606"/>
      <c r="N62" s="606"/>
      <c r="O62" s="606"/>
      <c r="P62" s="606"/>
      <c r="Q62" s="606"/>
      <c r="R62" s="611"/>
      <c r="S62" s="605"/>
      <c r="T62" s="606"/>
      <c r="U62" s="606"/>
      <c r="V62" s="606"/>
      <c r="W62" s="606"/>
      <c r="X62" s="606"/>
    </row>
    <row r="63" spans="1:24" ht="21.75" customHeight="1" thickBot="1">
      <c r="A63" s="1130" t="s">
        <v>7</v>
      </c>
      <c r="B63" s="1131"/>
      <c r="C63" s="1131"/>
      <c r="D63" s="1131"/>
      <c r="E63" s="425">
        <f aca="true" t="shared" si="23" ref="E63:N63">E61+E62</f>
        <v>617078079</v>
      </c>
      <c r="F63" s="426">
        <f t="shared" si="23"/>
        <v>617078079</v>
      </c>
      <c r="G63" s="426">
        <f t="shared" si="23"/>
        <v>617137579</v>
      </c>
      <c r="H63" s="426">
        <f t="shared" si="23"/>
        <v>0</v>
      </c>
      <c r="I63" s="426">
        <f t="shared" si="23"/>
        <v>0</v>
      </c>
      <c r="J63" s="426">
        <f t="shared" si="23"/>
        <v>0</v>
      </c>
      <c r="K63" s="425">
        <f t="shared" si="23"/>
        <v>596430286</v>
      </c>
      <c r="L63" s="426">
        <f t="shared" si="23"/>
        <v>596430286</v>
      </c>
      <c r="M63" s="426">
        <f t="shared" si="23"/>
        <v>596479786</v>
      </c>
      <c r="N63" s="426">
        <f t="shared" si="23"/>
        <v>0</v>
      </c>
      <c r="O63" s="426"/>
      <c r="P63" s="426">
        <f>P61+P62</f>
        <v>0</v>
      </c>
      <c r="Q63" s="426">
        <f>Q61+Q62</f>
        <v>0</v>
      </c>
      <c r="R63" s="428" t="e">
        <f t="shared" si="3"/>
        <v>#DIV/0!</v>
      </c>
      <c r="S63" s="425">
        <f aca="true" t="shared" si="24" ref="S63:X63">S61+S62</f>
        <v>20647793</v>
      </c>
      <c r="T63" s="426">
        <f t="shared" si="24"/>
        <v>20647793</v>
      </c>
      <c r="U63" s="426">
        <f t="shared" si="24"/>
        <v>20657793</v>
      </c>
      <c r="V63" s="426">
        <f t="shared" si="24"/>
        <v>0</v>
      </c>
      <c r="W63" s="426">
        <f t="shared" si="24"/>
        <v>0</v>
      </c>
      <c r="X63" s="426">
        <f t="shared" si="24"/>
        <v>0</v>
      </c>
    </row>
    <row r="64" spans="1:24" ht="21.75" customHeight="1">
      <c r="A64" s="608"/>
      <c r="B64" s="609"/>
      <c r="C64" s="609"/>
      <c r="D64" s="609"/>
      <c r="E64" s="610"/>
      <c r="F64" s="610"/>
      <c r="G64" s="610"/>
      <c r="H64" s="610"/>
      <c r="I64" s="610"/>
      <c r="J64" s="610"/>
      <c r="K64" s="610"/>
      <c r="L64" s="610"/>
      <c r="M64" s="610"/>
      <c r="N64" s="610"/>
      <c r="O64" s="610"/>
      <c r="P64" s="610"/>
      <c r="Q64" s="610"/>
      <c r="R64" s="610"/>
      <c r="S64" s="610"/>
      <c r="T64" s="610"/>
      <c r="U64" s="610"/>
      <c r="V64" s="610"/>
      <c r="W64" s="610"/>
      <c r="X64" s="610"/>
    </row>
    <row r="65" spans="1:22" ht="21.75" customHeight="1">
      <c r="A65" s="94"/>
      <c r="B65" s="141"/>
      <c r="C65" s="141"/>
      <c r="D65" s="141"/>
      <c r="E65" s="340"/>
      <c r="F65" s="340"/>
      <c r="G65" s="339"/>
      <c r="H65" s="339"/>
      <c r="I65" s="340"/>
      <c r="J65" s="339">
        <f>J63-'1 .sz.m.önk.össz.kiad.'!J36</f>
        <v>0</v>
      </c>
      <c r="K65" s="340"/>
      <c r="T65" s="340"/>
      <c r="U65" s="340"/>
      <c r="V65" s="340"/>
    </row>
    <row r="66" spans="1:22" ht="35.25" customHeight="1">
      <c r="A66" s="94"/>
      <c r="B66" s="141"/>
      <c r="C66" s="141"/>
      <c r="D66" s="141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T66" s="340"/>
      <c r="U66" s="340"/>
      <c r="V66" s="340"/>
    </row>
    <row r="67" spans="1:22" ht="35.25" customHeight="1">
      <c r="A67" s="94"/>
      <c r="B67" s="141"/>
      <c r="C67" s="141"/>
      <c r="D67" s="141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T67" s="340"/>
      <c r="U67" s="340"/>
      <c r="V67" s="340"/>
    </row>
    <row r="68" spans="5:22" ht="12.75"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T68" s="340"/>
      <c r="U68" s="340"/>
      <c r="V68" s="340"/>
    </row>
    <row r="69" spans="5:22" ht="12.75"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T69" s="340"/>
      <c r="U69" s="340"/>
      <c r="V69" s="340"/>
    </row>
    <row r="70" spans="5:22" ht="12.75"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T70" s="340"/>
      <c r="U70" s="340"/>
      <c r="V70" s="340"/>
    </row>
    <row r="71" spans="4:22" ht="12.75">
      <c r="D71" s="102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T71" s="340"/>
      <c r="U71" s="340"/>
      <c r="V71" s="340"/>
    </row>
    <row r="72" spans="4:22" ht="48.75" customHeight="1">
      <c r="D72" s="102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T72" s="340"/>
      <c r="U72" s="340"/>
      <c r="V72" s="340"/>
    </row>
    <row r="73" spans="4:22" ht="46.5" customHeight="1">
      <c r="D73" s="102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T73" s="340"/>
      <c r="U73" s="340"/>
      <c r="V73" s="340"/>
    </row>
    <row r="74" spans="5:22" ht="41.25" customHeight="1"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T74" s="340"/>
      <c r="U74" s="340"/>
      <c r="V74" s="340"/>
    </row>
    <row r="75" spans="5:22" ht="12.75"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T75" s="340"/>
      <c r="U75" s="340"/>
      <c r="V75" s="340"/>
    </row>
    <row r="76" spans="5:22" ht="12.75"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T76" s="340"/>
      <c r="U76" s="340"/>
      <c r="V76" s="340"/>
    </row>
    <row r="77" spans="5:22" ht="12.75"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T77" s="340"/>
      <c r="U77" s="340"/>
      <c r="V77" s="340"/>
    </row>
    <row r="78" spans="5:22" ht="12.75"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T78" s="340"/>
      <c r="U78" s="340"/>
      <c r="V78" s="340"/>
    </row>
    <row r="79" spans="5:22" ht="12.75"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T79" s="340"/>
      <c r="U79" s="340"/>
      <c r="V79" s="340"/>
    </row>
    <row r="80" spans="5:22" ht="12.75"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T80" s="340"/>
      <c r="U80" s="340"/>
      <c r="V80" s="340"/>
    </row>
    <row r="81" spans="5:22" ht="12.75"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T81" s="340"/>
      <c r="U81" s="340"/>
      <c r="V81" s="340"/>
    </row>
    <row r="82" spans="5:22" ht="12.75"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T82" s="340"/>
      <c r="U82" s="340"/>
      <c r="V82" s="340"/>
    </row>
    <row r="83" spans="5:22" ht="12.75"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T83" s="340"/>
      <c r="U83" s="340"/>
      <c r="V83" s="340"/>
    </row>
    <row r="84" spans="5:22" ht="12.75"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T84" s="340"/>
      <c r="U84" s="340"/>
      <c r="V84" s="340"/>
    </row>
    <row r="85" spans="5:22" ht="12.75"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T85" s="340"/>
      <c r="U85" s="340"/>
      <c r="V85" s="340"/>
    </row>
    <row r="86" spans="5:22" ht="12.75"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T86" s="340"/>
      <c r="U86" s="340"/>
      <c r="V86" s="340"/>
    </row>
    <row r="87" spans="5:22" ht="12.75"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T87" s="340"/>
      <c r="U87" s="340"/>
      <c r="V87" s="340"/>
    </row>
    <row r="88" spans="5:22" ht="12.75"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T88" s="340"/>
      <c r="U88" s="340"/>
      <c r="V88" s="340"/>
    </row>
    <row r="89" spans="5:22" ht="12.75"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T89" s="340"/>
      <c r="U89" s="340"/>
      <c r="V89" s="340"/>
    </row>
    <row r="90" spans="5:22" ht="12.75"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T90" s="340"/>
      <c r="U90" s="340"/>
      <c r="V90" s="340"/>
    </row>
    <row r="91" spans="5:22" ht="12.75"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T91" s="340"/>
      <c r="U91" s="340"/>
      <c r="V91" s="340"/>
    </row>
    <row r="92" spans="5:22" ht="12.75"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T92" s="340"/>
      <c r="U92" s="340"/>
      <c r="V92" s="340"/>
    </row>
    <row r="93" spans="5:22" ht="12.75"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T93" s="340"/>
      <c r="U93" s="340"/>
      <c r="V93" s="340"/>
    </row>
    <row r="94" spans="5:22" ht="12.75"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T94" s="340"/>
      <c r="U94" s="340"/>
      <c r="V94" s="340"/>
    </row>
    <row r="95" spans="5:22" ht="12.75"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T95" s="340"/>
      <c r="U95" s="340"/>
      <c r="V95" s="340"/>
    </row>
    <row r="96" spans="5:22" ht="12.75"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T96" s="340"/>
      <c r="U96" s="340"/>
      <c r="V96" s="340"/>
    </row>
    <row r="97" spans="5:22" ht="12.75"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T97" s="340"/>
      <c r="U97" s="340"/>
      <c r="V97" s="340"/>
    </row>
    <row r="98" spans="5:22" ht="12.75"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T98" s="340"/>
      <c r="U98" s="340"/>
      <c r="V98" s="340"/>
    </row>
    <row r="99" spans="5:22" ht="12.75"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T99" s="340"/>
      <c r="U99" s="340"/>
      <c r="V99" s="340"/>
    </row>
    <row r="100" spans="5:22" ht="12.75"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T100" s="340"/>
      <c r="U100" s="340"/>
      <c r="V100" s="340"/>
    </row>
    <row r="101" spans="5:22" ht="12.75"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T101" s="340"/>
      <c r="U101" s="340"/>
      <c r="V101" s="340"/>
    </row>
    <row r="102" spans="5:22" ht="12.75"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T102" s="340"/>
      <c r="U102" s="340"/>
      <c r="V102" s="340"/>
    </row>
    <row r="103" spans="5:22" ht="12.75"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T103" s="340"/>
      <c r="U103" s="340"/>
      <c r="V103" s="340"/>
    </row>
    <row r="104" spans="5:22" ht="12.75">
      <c r="E104" s="340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T104" s="340"/>
      <c r="U104" s="340"/>
      <c r="V104" s="340"/>
    </row>
    <row r="105" spans="5:22" ht="12.75"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T105" s="340"/>
      <c r="U105" s="340"/>
      <c r="V105" s="340"/>
    </row>
    <row r="106" spans="5:22" ht="12.75"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T106" s="340"/>
      <c r="U106" s="340"/>
      <c r="V106" s="340"/>
    </row>
    <row r="107" spans="5:22" ht="12.75"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T107" s="340"/>
      <c r="U107" s="340"/>
      <c r="V107" s="340"/>
    </row>
    <row r="108" spans="5:22" ht="12.75"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T108" s="340"/>
      <c r="U108" s="340"/>
      <c r="V108" s="340"/>
    </row>
    <row r="109" spans="5:22" ht="12.75"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T109" s="340"/>
      <c r="U109" s="340"/>
      <c r="V109" s="340"/>
    </row>
    <row r="110" spans="5:22" ht="12.75"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T110" s="340"/>
      <c r="U110" s="340"/>
      <c r="V110" s="340"/>
    </row>
    <row r="111" spans="5:22" ht="12.75">
      <c r="E111" s="340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T111" s="340"/>
      <c r="U111" s="340"/>
      <c r="V111" s="340"/>
    </row>
    <row r="112" spans="5:22" ht="12.75">
      <c r="E112" s="340"/>
      <c r="F112" s="340"/>
      <c r="G112" s="340"/>
      <c r="H112" s="340"/>
      <c r="I112" s="340"/>
      <c r="J112" s="340"/>
      <c r="K112" s="340"/>
      <c r="L112" s="340"/>
      <c r="M112" s="340"/>
      <c r="N112" s="340"/>
      <c r="O112" s="340"/>
      <c r="P112" s="340"/>
      <c r="Q112" s="340"/>
      <c r="R112" s="340"/>
      <c r="T112" s="340"/>
      <c r="U112" s="340"/>
      <c r="V112" s="340"/>
    </row>
  </sheetData>
  <sheetProtection/>
  <mergeCells count="46">
    <mergeCell ref="C30:D30"/>
    <mergeCell ref="C31:D31"/>
    <mergeCell ref="C48:D48"/>
    <mergeCell ref="C34:D34"/>
    <mergeCell ref="C52:D52"/>
    <mergeCell ref="C35:D35"/>
    <mergeCell ref="B50:D50"/>
    <mergeCell ref="C32:D32"/>
    <mergeCell ref="A62:D62"/>
    <mergeCell ref="C49:D49"/>
    <mergeCell ref="B57:D57"/>
    <mergeCell ref="A63:D63"/>
    <mergeCell ref="B61:D61"/>
    <mergeCell ref="C60:D60"/>
    <mergeCell ref="C51:D51"/>
    <mergeCell ref="B56:D56"/>
    <mergeCell ref="C59:D59"/>
    <mergeCell ref="B53:D53"/>
    <mergeCell ref="C54:D54"/>
    <mergeCell ref="C55:D55"/>
    <mergeCell ref="C58:D58"/>
    <mergeCell ref="B33:D33"/>
    <mergeCell ref="B42:D42"/>
    <mergeCell ref="C43:D43"/>
    <mergeCell ref="C44:D44"/>
    <mergeCell ref="C37:D37"/>
    <mergeCell ref="C36:D36"/>
    <mergeCell ref="C38:D38"/>
    <mergeCell ref="C16:D16"/>
    <mergeCell ref="B21:D21"/>
    <mergeCell ref="C22:D22"/>
    <mergeCell ref="C23:D23"/>
    <mergeCell ref="C25:D25"/>
    <mergeCell ref="C17:D17"/>
    <mergeCell ref="C20:D20"/>
    <mergeCell ref="C24:D24"/>
    <mergeCell ref="C8:D8"/>
    <mergeCell ref="C29:D29"/>
    <mergeCell ref="S4:X4"/>
    <mergeCell ref="A2:S2"/>
    <mergeCell ref="A4:C4"/>
    <mergeCell ref="B6:D6"/>
    <mergeCell ref="B7:D7"/>
    <mergeCell ref="E4:J4"/>
    <mergeCell ref="K4:R4"/>
    <mergeCell ref="C13:D1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3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zoomScale="60" workbookViewId="0" topLeftCell="A1">
      <selection activeCell="M10" sqref="M10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6" width="14.57421875" style="9" customWidth="1"/>
    <col min="7" max="7" width="12.8515625" style="9" customWidth="1"/>
    <col min="8" max="8" width="11.8515625" style="9" hidden="1" customWidth="1"/>
    <col min="9" max="9" width="9.28125" style="9" hidden="1" customWidth="1"/>
    <col min="10" max="10" width="11.8515625" style="9" hidden="1" customWidth="1"/>
    <col min="11" max="16384" width="9.140625" style="9" customWidth="1"/>
  </cols>
  <sheetData>
    <row r="1" spans="2:6" ht="12.75">
      <c r="B1" s="44"/>
      <c r="D1" s="1230" t="s">
        <v>219</v>
      </c>
      <c r="E1" s="1230"/>
      <c r="F1" s="12"/>
    </row>
    <row r="2" ht="12.75">
      <c r="B2" s="44"/>
    </row>
    <row r="3" spans="1:6" ht="18">
      <c r="A3" s="1231" t="s">
        <v>61</v>
      </c>
      <c r="B3" s="1231"/>
      <c r="C3" s="1231"/>
      <c r="D3" s="1231"/>
      <c r="E3" s="1231"/>
      <c r="F3" s="17"/>
    </row>
    <row r="4" spans="1:6" ht="18">
      <c r="A4" s="1231" t="s">
        <v>17</v>
      </c>
      <c r="B4" s="1231"/>
      <c r="C4" s="1231"/>
      <c r="D4" s="1231"/>
      <c r="E4" s="1231"/>
      <c r="F4" s="17"/>
    </row>
    <row r="5" spans="1:6" ht="18">
      <c r="A5" s="17"/>
      <c r="B5" s="33"/>
      <c r="C5" s="33"/>
      <c r="D5" s="17"/>
      <c r="E5" s="17"/>
      <c r="F5" s="17"/>
    </row>
    <row r="6" spans="1:6" ht="15.75">
      <c r="A6" s="1232" t="s">
        <v>565</v>
      </c>
      <c r="B6" s="1232"/>
      <c r="C6" s="1232"/>
      <c r="D6" s="1232"/>
      <c r="E6" s="1232"/>
      <c r="F6" s="10"/>
    </row>
    <row r="7" spans="1:8" ht="16.5" thickBot="1">
      <c r="A7" s="11"/>
      <c r="B7" s="45"/>
      <c r="C7" s="34"/>
      <c r="D7" s="10"/>
      <c r="E7" s="667" t="s">
        <v>561</v>
      </c>
      <c r="F7" s="24"/>
      <c r="G7" s="24" t="s">
        <v>547</v>
      </c>
      <c r="H7" s="24"/>
    </row>
    <row r="8" spans="1:10" ht="45.75" customHeight="1" thickBot="1">
      <c r="A8" s="21" t="s">
        <v>20</v>
      </c>
      <c r="B8" s="35" t="s">
        <v>18</v>
      </c>
      <c r="C8" s="35" t="s">
        <v>19</v>
      </c>
      <c r="D8" s="858" t="s">
        <v>33</v>
      </c>
      <c r="E8" s="864" t="s">
        <v>214</v>
      </c>
      <c r="F8" s="35" t="s">
        <v>241</v>
      </c>
      <c r="G8" s="35" t="s">
        <v>244</v>
      </c>
      <c r="H8" s="35" t="s">
        <v>247</v>
      </c>
      <c r="I8" s="35" t="s">
        <v>263</v>
      </c>
      <c r="J8" s="35" t="s">
        <v>269</v>
      </c>
    </row>
    <row r="9" spans="1:10" s="16" customFormat="1" ht="30" customHeight="1" thickBot="1">
      <c r="A9" s="29">
        <v>1</v>
      </c>
      <c r="B9" s="36" t="s">
        <v>361</v>
      </c>
      <c r="C9" s="36" t="s">
        <v>362</v>
      </c>
      <c r="D9" s="859" t="s">
        <v>15</v>
      </c>
      <c r="E9" s="865">
        <v>889000</v>
      </c>
      <c r="F9" s="865">
        <v>889000</v>
      </c>
      <c r="G9" s="865">
        <f>889000-419000</f>
        <v>470000</v>
      </c>
      <c r="H9" s="865"/>
      <c r="I9" s="865"/>
      <c r="J9" s="865"/>
    </row>
    <row r="10" spans="1:10" s="16" customFormat="1" ht="30" customHeight="1">
      <c r="A10" s="1059">
        <v>2</v>
      </c>
      <c r="B10" s="36" t="s">
        <v>361</v>
      </c>
      <c r="C10" s="1060" t="s">
        <v>600</v>
      </c>
      <c r="D10" s="1061" t="s">
        <v>15</v>
      </c>
      <c r="E10" s="1062">
        <v>0</v>
      </c>
      <c r="F10" s="1062">
        <v>0</v>
      </c>
      <c r="G10" s="1062">
        <v>419000</v>
      </c>
      <c r="H10" s="1062"/>
      <c r="I10" s="1062"/>
      <c r="J10" s="1062"/>
    </row>
    <row r="11" spans="1:11" ht="30" customHeight="1">
      <c r="A11" s="39">
        <v>2</v>
      </c>
      <c r="B11" s="46" t="s">
        <v>224</v>
      </c>
      <c r="C11" s="40" t="s">
        <v>562</v>
      </c>
      <c r="D11" s="860" t="s">
        <v>15</v>
      </c>
      <c r="E11" s="866">
        <v>1118000</v>
      </c>
      <c r="F11" s="866">
        <v>1118000</v>
      </c>
      <c r="G11" s="866">
        <v>1118000</v>
      </c>
      <c r="H11" s="866"/>
      <c r="I11" s="866"/>
      <c r="J11" s="866"/>
      <c r="K11" s="689"/>
    </row>
    <row r="12" spans="1:10" ht="30" customHeight="1">
      <c r="A12" s="39">
        <v>3</v>
      </c>
      <c r="B12" s="46" t="s">
        <v>224</v>
      </c>
      <c r="C12" s="666" t="s">
        <v>563</v>
      </c>
      <c r="D12" s="860" t="s">
        <v>15</v>
      </c>
      <c r="E12" s="866">
        <v>152000</v>
      </c>
      <c r="F12" s="866">
        <v>152000</v>
      </c>
      <c r="G12" s="866">
        <v>152000</v>
      </c>
      <c r="H12" s="866"/>
      <c r="I12" s="866"/>
      <c r="J12" s="866"/>
    </row>
    <row r="13" spans="1:10" ht="30" customHeight="1" hidden="1">
      <c r="A13" s="41">
        <v>4</v>
      </c>
      <c r="B13" s="46" t="s">
        <v>224</v>
      </c>
      <c r="C13" s="66" t="s">
        <v>494</v>
      </c>
      <c r="D13" s="861" t="s">
        <v>15</v>
      </c>
      <c r="E13" s="867"/>
      <c r="F13" s="867"/>
      <c r="G13" s="867"/>
      <c r="H13" s="867"/>
      <c r="I13" s="867"/>
      <c r="J13" s="868"/>
    </row>
    <row r="14" spans="1:10" ht="30" customHeight="1">
      <c r="A14" s="39">
        <v>4</v>
      </c>
      <c r="B14" s="46" t="s">
        <v>224</v>
      </c>
      <c r="C14" s="66" t="s">
        <v>564</v>
      </c>
      <c r="D14" s="861" t="s">
        <v>15</v>
      </c>
      <c r="E14" s="867">
        <v>70000</v>
      </c>
      <c r="F14" s="867">
        <v>70000</v>
      </c>
      <c r="G14" s="867">
        <v>70000</v>
      </c>
      <c r="H14" s="867"/>
      <c r="I14" s="867"/>
      <c r="J14" s="868"/>
    </row>
    <row r="15" spans="1:10" ht="30" customHeight="1" hidden="1">
      <c r="A15" s="41">
        <v>6</v>
      </c>
      <c r="B15" s="46" t="s">
        <v>224</v>
      </c>
      <c r="C15" s="66" t="s">
        <v>495</v>
      </c>
      <c r="D15" s="862" t="s">
        <v>15</v>
      </c>
      <c r="E15" s="868"/>
      <c r="F15" s="868"/>
      <c r="G15" s="868"/>
      <c r="H15" s="868"/>
      <c r="I15" s="868"/>
      <c r="J15" s="868"/>
    </row>
    <row r="16" spans="1:10" ht="36.75" customHeight="1" thickBot="1">
      <c r="A16" s="39">
        <v>5</v>
      </c>
      <c r="B16" s="46" t="s">
        <v>224</v>
      </c>
      <c r="C16" s="66" t="s">
        <v>496</v>
      </c>
      <c r="D16" s="862" t="s">
        <v>15</v>
      </c>
      <c r="E16" s="868">
        <v>127000</v>
      </c>
      <c r="F16" s="868">
        <v>127000</v>
      </c>
      <c r="G16" s="868">
        <v>127000</v>
      </c>
      <c r="H16" s="868"/>
      <c r="I16" s="868"/>
      <c r="J16" s="868"/>
    </row>
    <row r="17" spans="1:10" ht="36.75" customHeight="1" hidden="1">
      <c r="A17" s="67"/>
      <c r="B17" s="66"/>
      <c r="C17" s="66"/>
      <c r="D17" s="862" t="s">
        <v>15</v>
      </c>
      <c r="E17" s="868"/>
      <c r="F17" s="868"/>
      <c r="G17" s="868"/>
      <c r="H17" s="868"/>
      <c r="I17" s="868"/>
      <c r="J17" s="868"/>
    </row>
    <row r="18" spans="1:10" ht="36.75" customHeight="1" hidden="1" thickBot="1">
      <c r="A18" s="67"/>
      <c r="B18" s="66"/>
      <c r="C18" s="66"/>
      <c r="D18" s="862" t="s">
        <v>16</v>
      </c>
      <c r="E18" s="868"/>
      <c r="F18" s="868"/>
      <c r="G18" s="868"/>
      <c r="H18" s="868"/>
      <c r="I18" s="868"/>
      <c r="J18" s="868"/>
    </row>
    <row r="19" spans="1:10" s="38" customFormat="1" ht="30" customHeight="1" thickBot="1">
      <c r="A19" s="1228" t="s">
        <v>1</v>
      </c>
      <c r="B19" s="1229"/>
      <c r="C19" s="37"/>
      <c r="D19" s="863"/>
      <c r="E19" s="869">
        <f aca="true" t="shared" si="0" ref="E19:J19">SUM(E9:E18)</f>
        <v>2356000</v>
      </c>
      <c r="F19" s="869">
        <f>SUM(F9:F18)</f>
        <v>2356000</v>
      </c>
      <c r="G19" s="869">
        <f>SUM(G9:G18)</f>
        <v>2356000</v>
      </c>
      <c r="H19" s="869">
        <f t="shared" si="0"/>
        <v>0</v>
      </c>
      <c r="I19" s="869">
        <f t="shared" si="0"/>
        <v>0</v>
      </c>
      <c r="J19" s="869">
        <f t="shared" si="0"/>
        <v>0</v>
      </c>
    </row>
  </sheetData>
  <sheetProtection/>
  <mergeCells count="5">
    <mergeCell ref="A19:B19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view="pageBreakPreview" zoomScale="60" workbookViewId="0" topLeftCell="D1">
      <selection activeCell="Y9" sqref="Y9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4.28125" style="688" customWidth="1"/>
    <col min="5" max="5" width="12.7109375" style="688" bestFit="1" customWidth="1"/>
    <col min="6" max="6" width="13.28125" style="688" customWidth="1"/>
    <col min="7" max="10" width="9.7109375" style="688" hidden="1" customWidth="1"/>
    <col min="11" max="11" width="14.140625" style="689" customWidth="1"/>
    <col min="12" max="12" width="12.7109375" style="689" bestFit="1" customWidth="1"/>
    <col min="13" max="13" width="13.57421875" style="689" customWidth="1"/>
    <col min="14" max="15" width="8.8515625" style="689" hidden="1" customWidth="1"/>
    <col min="16" max="16" width="10.7109375" style="689" hidden="1" customWidth="1"/>
    <col min="17" max="17" width="10.421875" style="689" hidden="1" customWidth="1"/>
    <col min="18" max="18" width="13.00390625" style="689" customWidth="1"/>
    <col min="19" max="19" width="11.421875" style="689" bestFit="1" customWidth="1"/>
    <col min="20" max="20" width="12.421875" style="9" customWidth="1"/>
    <col min="21" max="23" width="9.28125" style="9" hidden="1" customWidth="1"/>
    <col min="24" max="24" width="9.421875" style="9" hidden="1" customWidth="1"/>
    <col min="25" max="16384" width="9.140625" style="9" customWidth="1"/>
  </cols>
  <sheetData>
    <row r="1" spans="4:19" ht="12.75">
      <c r="D1" s="682"/>
      <c r="E1" s="682"/>
      <c r="F1" s="682"/>
      <c r="G1" s="682"/>
      <c r="H1" s="682"/>
      <c r="I1" s="682"/>
      <c r="J1" s="682"/>
      <c r="K1" s="1233" t="s">
        <v>381</v>
      </c>
      <c r="L1" s="1233"/>
      <c r="M1" s="1233"/>
      <c r="N1" s="1233"/>
      <c r="O1" s="1233"/>
      <c r="P1" s="1233"/>
      <c r="Q1" s="1233"/>
      <c r="R1" s="1233"/>
      <c r="S1" s="683"/>
    </row>
    <row r="2" spans="1:19" ht="16.5" customHeight="1">
      <c r="A2" s="1234" t="s">
        <v>409</v>
      </c>
      <c r="B2" s="1234"/>
      <c r="C2" s="1234"/>
      <c r="D2" s="1234"/>
      <c r="E2" s="1234"/>
      <c r="F2" s="1234"/>
      <c r="G2" s="1234"/>
      <c r="H2" s="1234"/>
      <c r="I2" s="1234"/>
      <c r="J2" s="1234"/>
      <c r="K2" s="1234"/>
      <c r="L2" s="1234"/>
      <c r="M2" s="1234"/>
      <c r="N2" s="1234"/>
      <c r="O2" s="1234"/>
      <c r="P2" s="1234"/>
      <c r="Q2" s="1234"/>
      <c r="R2" s="1234"/>
      <c r="S2" s="684"/>
    </row>
    <row r="3" spans="1:19" ht="15" customHeight="1">
      <c r="A3" s="1235" t="s">
        <v>566</v>
      </c>
      <c r="B3" s="1235"/>
      <c r="C3" s="1235"/>
      <c r="D3" s="1235"/>
      <c r="E3" s="1235"/>
      <c r="F3" s="1235"/>
      <c r="G3" s="1235"/>
      <c r="H3" s="1235"/>
      <c r="I3" s="1235"/>
      <c r="J3" s="1235"/>
      <c r="K3" s="1235"/>
      <c r="L3" s="1235"/>
      <c r="M3" s="1235"/>
      <c r="N3" s="1235"/>
      <c r="O3" s="1235"/>
      <c r="P3" s="1235"/>
      <c r="Q3" s="1235"/>
      <c r="R3" s="1235"/>
      <c r="S3" s="685"/>
    </row>
    <row r="4" spans="1:19" ht="15" customHeight="1">
      <c r="A4" s="1236" t="s">
        <v>410</v>
      </c>
      <c r="B4" s="1236"/>
      <c r="C4" s="1236"/>
      <c r="D4" s="1236"/>
      <c r="E4" s="1236"/>
      <c r="F4" s="1236"/>
      <c r="G4" s="1236"/>
      <c r="H4" s="1236"/>
      <c r="I4" s="1236"/>
      <c r="J4" s="1236"/>
      <c r="K4" s="1236"/>
      <c r="L4" s="1236"/>
      <c r="M4" s="1236"/>
      <c r="N4" s="1236"/>
      <c r="O4" s="1236"/>
      <c r="P4" s="1236"/>
      <c r="Q4" s="1236"/>
      <c r="R4" s="1236"/>
      <c r="S4" s="686"/>
    </row>
    <row r="5" spans="2:18" ht="13.5" thickBot="1">
      <c r="B5" s="687"/>
      <c r="C5" s="687"/>
      <c r="R5" s="690" t="s">
        <v>561</v>
      </c>
    </row>
    <row r="6" spans="1:25" s="693" customFormat="1" ht="41.25" customHeight="1" thickBot="1">
      <c r="A6" s="691" t="s">
        <v>6</v>
      </c>
      <c r="B6" s="1237" t="s">
        <v>4</v>
      </c>
      <c r="C6" s="1237"/>
      <c r="D6" s="1238" t="s">
        <v>5</v>
      </c>
      <c r="E6" s="1239"/>
      <c r="F6" s="1239"/>
      <c r="G6" s="1239"/>
      <c r="H6" s="1239"/>
      <c r="I6" s="1240"/>
      <c r="J6" s="1241"/>
      <c r="K6" s="1238" t="s">
        <v>411</v>
      </c>
      <c r="L6" s="1239"/>
      <c r="M6" s="1239"/>
      <c r="N6" s="1239"/>
      <c r="O6" s="1240"/>
      <c r="P6" s="1240"/>
      <c r="Q6" s="1241"/>
      <c r="R6" s="1238" t="s">
        <v>412</v>
      </c>
      <c r="S6" s="1239"/>
      <c r="T6" s="1239"/>
      <c r="U6" s="1239"/>
      <c r="V6" s="1239"/>
      <c r="W6" s="1240"/>
      <c r="X6" s="1241"/>
      <c r="Y6" s="692"/>
    </row>
    <row r="7" spans="1:24" s="693" customFormat="1" ht="41.25" customHeight="1" thickBot="1">
      <c r="A7" s="694"/>
      <c r="B7" s="695"/>
      <c r="C7" s="695"/>
      <c r="D7" s="696" t="s">
        <v>70</v>
      </c>
      <c r="E7" s="697" t="s">
        <v>241</v>
      </c>
      <c r="F7" s="697" t="s">
        <v>244</v>
      </c>
      <c r="G7" s="697" t="s">
        <v>247</v>
      </c>
      <c r="H7" s="697" t="s">
        <v>263</v>
      </c>
      <c r="I7" s="1030" t="s">
        <v>269</v>
      </c>
      <c r="J7" s="698" t="s">
        <v>383</v>
      </c>
      <c r="K7" s="696" t="s">
        <v>70</v>
      </c>
      <c r="L7" s="697" t="s">
        <v>241</v>
      </c>
      <c r="M7" s="697" t="s">
        <v>244</v>
      </c>
      <c r="N7" s="697" t="s">
        <v>247</v>
      </c>
      <c r="O7" s="697" t="s">
        <v>263</v>
      </c>
      <c r="P7" s="1030" t="s">
        <v>269</v>
      </c>
      <c r="Q7" s="698" t="s">
        <v>383</v>
      </c>
      <c r="R7" s="696" t="s">
        <v>70</v>
      </c>
      <c r="S7" s="697" t="s">
        <v>241</v>
      </c>
      <c r="T7" s="697" t="s">
        <v>244</v>
      </c>
      <c r="U7" s="697" t="s">
        <v>247</v>
      </c>
      <c r="V7" s="697" t="s">
        <v>263</v>
      </c>
      <c r="W7" s="1030" t="s">
        <v>269</v>
      </c>
      <c r="X7" s="698" t="s">
        <v>383</v>
      </c>
    </row>
    <row r="8" spans="1:24" ht="27.75" customHeight="1">
      <c r="A8" s="59">
        <v>1</v>
      </c>
      <c r="B8" s="1242" t="s">
        <v>413</v>
      </c>
      <c r="C8" s="1242"/>
      <c r="D8" s="699">
        <v>2007200</v>
      </c>
      <c r="E8" s="699">
        <v>2007200</v>
      </c>
      <c r="F8" s="699">
        <v>2007200</v>
      </c>
      <c r="G8" s="699"/>
      <c r="H8" s="699"/>
      <c r="I8" s="699"/>
      <c r="J8" s="701"/>
      <c r="K8" s="699">
        <v>2007200</v>
      </c>
      <c r="L8" s="699">
        <v>2007200</v>
      </c>
      <c r="M8" s="699">
        <v>2007200</v>
      </c>
      <c r="N8" s="699"/>
      <c r="O8" s="699"/>
      <c r="P8" s="699"/>
      <c r="Q8" s="701"/>
      <c r="R8" s="699"/>
      <c r="S8" s="700"/>
      <c r="T8" s="700"/>
      <c r="U8" s="700"/>
      <c r="V8" s="700"/>
      <c r="W8" s="1031"/>
      <c r="X8" s="702"/>
    </row>
    <row r="9" spans="1:24" ht="27.75" customHeight="1">
      <c r="A9" s="60">
        <v>2</v>
      </c>
      <c r="B9" s="1243" t="s">
        <v>414</v>
      </c>
      <c r="C9" s="1243"/>
      <c r="D9" s="704">
        <v>122133</v>
      </c>
      <c r="E9" s="704">
        <v>122133</v>
      </c>
      <c r="F9" s="704">
        <v>122133</v>
      </c>
      <c r="G9" s="704"/>
      <c r="H9" s="704"/>
      <c r="I9" s="704"/>
      <c r="J9" s="706"/>
      <c r="K9" s="704">
        <v>122133</v>
      </c>
      <c r="L9" s="704">
        <v>122133</v>
      </c>
      <c r="M9" s="704">
        <v>122133</v>
      </c>
      <c r="N9" s="704"/>
      <c r="O9" s="704"/>
      <c r="P9" s="704"/>
      <c r="Q9" s="706"/>
      <c r="R9" s="704"/>
      <c r="S9" s="705"/>
      <c r="T9" s="705"/>
      <c r="U9" s="705"/>
      <c r="V9" s="705"/>
      <c r="W9" s="1032"/>
      <c r="X9" s="707"/>
    </row>
    <row r="10" spans="1:24" ht="27.75" customHeight="1">
      <c r="A10" s="60">
        <v>3</v>
      </c>
      <c r="B10" s="1243" t="s">
        <v>415</v>
      </c>
      <c r="C10" s="1243"/>
      <c r="D10" s="704">
        <v>2000000</v>
      </c>
      <c r="E10" s="704">
        <v>2000000</v>
      </c>
      <c r="F10" s="704">
        <v>2000000</v>
      </c>
      <c r="G10" s="704"/>
      <c r="H10" s="704"/>
      <c r="I10" s="704"/>
      <c r="J10" s="706"/>
      <c r="K10" s="704">
        <v>2000000</v>
      </c>
      <c r="L10" s="704">
        <v>2000000</v>
      </c>
      <c r="M10" s="704">
        <v>2000000</v>
      </c>
      <c r="N10" s="704"/>
      <c r="O10" s="704"/>
      <c r="P10" s="704"/>
      <c r="Q10" s="706"/>
      <c r="R10" s="704"/>
      <c r="S10" s="705"/>
      <c r="T10" s="705"/>
      <c r="U10" s="705"/>
      <c r="V10" s="705"/>
      <c r="W10" s="1032"/>
      <c r="X10" s="707"/>
    </row>
    <row r="11" spans="1:24" ht="27.75" customHeight="1">
      <c r="A11" s="60">
        <v>4</v>
      </c>
      <c r="B11" s="1243" t="s">
        <v>416</v>
      </c>
      <c r="C11" s="1243"/>
      <c r="D11" s="704">
        <v>1841724</v>
      </c>
      <c r="E11" s="704">
        <v>1841724</v>
      </c>
      <c r="F11" s="704">
        <v>1841724</v>
      </c>
      <c r="G11" s="704"/>
      <c r="H11" s="704"/>
      <c r="I11" s="704"/>
      <c r="J11" s="706"/>
      <c r="K11" s="704"/>
      <c r="L11" s="704"/>
      <c r="M11" s="704"/>
      <c r="N11" s="704"/>
      <c r="O11" s="704"/>
      <c r="P11" s="704"/>
      <c r="Q11" s="706"/>
      <c r="R11" s="704">
        <v>1841724</v>
      </c>
      <c r="S11" s="704">
        <v>1841724</v>
      </c>
      <c r="T11" s="704">
        <v>1841724</v>
      </c>
      <c r="U11" s="705"/>
      <c r="V11" s="705"/>
      <c r="W11" s="705"/>
      <c r="X11" s="706" t="e">
        <f>V11/U11</f>
        <v>#DIV/0!</v>
      </c>
    </row>
    <row r="12" spans="1:24" ht="27.75" customHeight="1">
      <c r="A12" s="60">
        <v>5</v>
      </c>
      <c r="B12" s="1243" t="s">
        <v>417</v>
      </c>
      <c r="C12" s="1243"/>
      <c r="D12" s="704">
        <v>4567397</v>
      </c>
      <c r="E12" s="704">
        <v>4567397</v>
      </c>
      <c r="F12" s="704">
        <v>4567397</v>
      </c>
      <c r="G12" s="704"/>
      <c r="H12" s="704"/>
      <c r="I12" s="704"/>
      <c r="J12" s="706"/>
      <c r="K12" s="704">
        <v>4567397</v>
      </c>
      <c r="L12" s="704">
        <v>4567397</v>
      </c>
      <c r="M12" s="704">
        <v>4567397</v>
      </c>
      <c r="N12" s="704"/>
      <c r="O12" s="704"/>
      <c r="P12" s="704"/>
      <c r="Q12" s="706"/>
      <c r="R12" s="704"/>
      <c r="S12" s="705"/>
      <c r="T12" s="705"/>
      <c r="U12" s="705"/>
      <c r="V12" s="705"/>
      <c r="W12" s="1032"/>
      <c r="X12" s="707"/>
    </row>
    <row r="13" spans="1:24" ht="27.75" customHeight="1">
      <c r="A13" s="60">
        <v>6</v>
      </c>
      <c r="B13" s="1243" t="s">
        <v>418</v>
      </c>
      <c r="C13" s="1243"/>
      <c r="D13" s="704">
        <v>47701306</v>
      </c>
      <c r="E13" s="704">
        <v>47701306</v>
      </c>
      <c r="F13" s="704">
        <f>47701306-204540</f>
        <v>47496766</v>
      </c>
      <c r="G13" s="704"/>
      <c r="H13" s="704"/>
      <c r="I13" s="704"/>
      <c r="J13" s="706"/>
      <c r="K13" s="704">
        <v>47701306</v>
      </c>
      <c r="L13" s="704">
        <v>47701306</v>
      </c>
      <c r="M13" s="704">
        <f>47701306-204540</f>
        <v>47496766</v>
      </c>
      <c r="N13" s="704"/>
      <c r="O13" s="704"/>
      <c r="P13" s="704"/>
      <c r="Q13" s="706"/>
      <c r="R13" s="704"/>
      <c r="S13" s="705"/>
      <c r="T13" s="705"/>
      <c r="U13" s="705"/>
      <c r="V13" s="705"/>
      <c r="W13" s="1032"/>
      <c r="X13" s="707"/>
    </row>
    <row r="14" spans="1:24" ht="27.75" customHeight="1">
      <c r="A14" s="60">
        <v>7</v>
      </c>
      <c r="B14" s="703" t="s">
        <v>419</v>
      </c>
      <c r="C14" s="703"/>
      <c r="D14" s="704">
        <v>268100</v>
      </c>
      <c r="E14" s="704">
        <v>268100</v>
      </c>
      <c r="F14" s="704">
        <v>268100</v>
      </c>
      <c r="G14" s="704"/>
      <c r="H14" s="704"/>
      <c r="I14" s="704"/>
      <c r="J14" s="706"/>
      <c r="K14" s="704">
        <v>268100</v>
      </c>
      <c r="L14" s="704">
        <v>268100</v>
      </c>
      <c r="M14" s="704">
        <v>268100</v>
      </c>
      <c r="N14" s="704"/>
      <c r="O14" s="704"/>
      <c r="P14" s="704"/>
      <c r="Q14" s="706"/>
      <c r="R14" s="704"/>
      <c r="S14" s="705"/>
      <c r="T14" s="705"/>
      <c r="U14" s="705"/>
      <c r="V14" s="705"/>
      <c r="W14" s="1032"/>
      <c r="X14" s="707"/>
    </row>
    <row r="15" spans="1:24" ht="27.75" customHeight="1">
      <c r="A15" s="60">
        <v>8</v>
      </c>
      <c r="B15" s="1243" t="s">
        <v>420</v>
      </c>
      <c r="C15" s="1243"/>
      <c r="D15" s="704">
        <v>2518068</v>
      </c>
      <c r="E15" s="704">
        <v>2518068</v>
      </c>
      <c r="F15" s="704">
        <v>2518068</v>
      </c>
      <c r="G15" s="704"/>
      <c r="H15" s="704"/>
      <c r="I15" s="704"/>
      <c r="J15" s="706"/>
      <c r="K15" s="704">
        <v>2518068</v>
      </c>
      <c r="L15" s="704">
        <v>2518068</v>
      </c>
      <c r="M15" s="704">
        <v>2518068</v>
      </c>
      <c r="N15" s="704"/>
      <c r="O15" s="704"/>
      <c r="P15" s="704"/>
      <c r="Q15" s="706"/>
      <c r="R15" s="704"/>
      <c r="S15" s="705"/>
      <c r="T15" s="705"/>
      <c r="U15" s="705"/>
      <c r="V15" s="705"/>
      <c r="W15" s="1032"/>
      <c r="X15" s="707"/>
    </row>
    <row r="16" spans="1:24" ht="27.75" customHeight="1">
      <c r="A16" s="60">
        <v>9</v>
      </c>
      <c r="B16" s="1243" t="s">
        <v>421</v>
      </c>
      <c r="C16" s="1243"/>
      <c r="D16" s="704">
        <v>198466</v>
      </c>
      <c r="E16" s="704">
        <v>198466</v>
      </c>
      <c r="F16" s="704">
        <v>198466</v>
      </c>
      <c r="G16" s="704"/>
      <c r="H16" s="704"/>
      <c r="I16" s="704"/>
      <c r="J16" s="706"/>
      <c r="K16" s="704">
        <v>198466</v>
      </c>
      <c r="L16" s="704">
        <v>198466</v>
      </c>
      <c r="M16" s="704">
        <v>198466</v>
      </c>
      <c r="N16" s="704"/>
      <c r="O16" s="704"/>
      <c r="P16" s="704"/>
      <c r="Q16" s="706"/>
      <c r="R16" s="704"/>
      <c r="S16" s="705"/>
      <c r="T16" s="705"/>
      <c r="U16" s="705"/>
      <c r="V16" s="705"/>
      <c r="W16" s="1032"/>
      <c r="X16" s="707"/>
    </row>
    <row r="17" spans="1:24" ht="36" customHeight="1" hidden="1">
      <c r="A17" s="60">
        <v>10</v>
      </c>
      <c r="B17" s="1245" t="s">
        <v>422</v>
      </c>
      <c r="C17" s="1246"/>
      <c r="D17" s="704"/>
      <c r="E17" s="704"/>
      <c r="F17" s="704"/>
      <c r="G17" s="704"/>
      <c r="H17" s="704"/>
      <c r="I17" s="704"/>
      <c r="J17" s="706"/>
      <c r="K17" s="704"/>
      <c r="L17" s="704"/>
      <c r="M17" s="704"/>
      <c r="N17" s="704"/>
      <c r="O17" s="704"/>
      <c r="P17" s="704"/>
      <c r="Q17" s="706"/>
      <c r="R17" s="704"/>
      <c r="S17" s="705"/>
      <c r="T17" s="705"/>
      <c r="U17" s="705"/>
      <c r="V17" s="705"/>
      <c r="W17" s="1032"/>
      <c r="X17" s="707"/>
    </row>
    <row r="18" spans="1:24" ht="27.75" customHeight="1" thickBot="1">
      <c r="A18" s="60">
        <v>10</v>
      </c>
      <c r="B18" s="1247" t="s">
        <v>423</v>
      </c>
      <c r="C18" s="1247"/>
      <c r="D18" s="708">
        <v>1206500</v>
      </c>
      <c r="E18" s="708">
        <v>1206500</v>
      </c>
      <c r="F18" s="708">
        <v>1206500</v>
      </c>
      <c r="G18" s="708"/>
      <c r="H18" s="708"/>
      <c r="I18" s="708"/>
      <c r="J18" s="706"/>
      <c r="K18" s="708">
        <v>1206500</v>
      </c>
      <c r="L18" s="708">
        <v>1206500</v>
      </c>
      <c r="M18" s="708">
        <v>1206500</v>
      </c>
      <c r="N18" s="708"/>
      <c r="O18" s="708"/>
      <c r="P18" s="708"/>
      <c r="Q18" s="706"/>
      <c r="R18" s="708"/>
      <c r="S18" s="709"/>
      <c r="T18" s="709"/>
      <c r="U18" s="709"/>
      <c r="V18" s="709"/>
      <c r="W18" s="1033"/>
      <c r="X18" s="710"/>
    </row>
    <row r="19" spans="1:24" ht="27.75" customHeight="1" hidden="1">
      <c r="A19" s="60">
        <v>12</v>
      </c>
      <c r="B19" s="1248" t="s">
        <v>447</v>
      </c>
      <c r="C19" s="1247"/>
      <c r="D19" s="708"/>
      <c r="E19" s="708"/>
      <c r="F19" s="708"/>
      <c r="G19" s="708"/>
      <c r="H19" s="708"/>
      <c r="I19" s="708"/>
      <c r="J19" s="706"/>
      <c r="K19" s="708"/>
      <c r="L19" s="708"/>
      <c r="M19" s="708"/>
      <c r="N19" s="708"/>
      <c r="O19" s="708"/>
      <c r="P19" s="708"/>
      <c r="Q19" s="706"/>
      <c r="R19" s="708"/>
      <c r="S19" s="709"/>
      <c r="T19" s="709"/>
      <c r="U19" s="709"/>
      <c r="V19" s="709"/>
      <c r="W19" s="1033"/>
      <c r="X19" s="710"/>
    </row>
    <row r="20" spans="1:24" ht="27.75" customHeight="1" hidden="1" thickBot="1">
      <c r="A20" s="711">
        <v>13</v>
      </c>
      <c r="B20" s="1249" t="s">
        <v>448</v>
      </c>
      <c r="C20" s="1250"/>
      <c r="D20" s="712"/>
      <c r="E20" s="712"/>
      <c r="F20" s="712"/>
      <c r="G20" s="712"/>
      <c r="H20" s="712"/>
      <c r="I20" s="712"/>
      <c r="J20" s="870"/>
      <c r="K20" s="712"/>
      <c r="L20" s="712"/>
      <c r="M20" s="712"/>
      <c r="N20" s="712"/>
      <c r="O20" s="712"/>
      <c r="P20" s="712"/>
      <c r="Q20" s="870"/>
      <c r="R20" s="712"/>
      <c r="S20" s="713"/>
      <c r="T20" s="713"/>
      <c r="U20" s="713"/>
      <c r="V20" s="713"/>
      <c r="W20" s="1034"/>
      <c r="X20" s="714"/>
    </row>
    <row r="21" spans="1:24" ht="32.25" customHeight="1" thickBot="1">
      <c r="A21" s="715"/>
      <c r="B21" s="1244" t="s">
        <v>424</v>
      </c>
      <c r="C21" s="1244"/>
      <c r="D21" s="716">
        <f aca="true" t="shared" si="0" ref="D21:I21">SUM(D8:D18)</f>
        <v>62430894</v>
      </c>
      <c r="E21" s="716">
        <f>SUM(E8:E18)</f>
        <v>62430894</v>
      </c>
      <c r="F21" s="716">
        <f>SUM(F8:F18)</f>
        <v>62226354</v>
      </c>
      <c r="G21" s="716">
        <f t="shared" si="0"/>
        <v>0</v>
      </c>
      <c r="H21" s="716">
        <f t="shared" si="0"/>
        <v>0</v>
      </c>
      <c r="I21" s="716">
        <f t="shared" si="0"/>
        <v>0</v>
      </c>
      <c r="J21" s="982" t="e">
        <f>H21/G21</f>
        <v>#DIV/0!</v>
      </c>
      <c r="K21" s="716">
        <f aca="true" t="shared" si="1" ref="K21:P21">SUM(K8:K18)</f>
        <v>60589170</v>
      </c>
      <c r="L21" s="716">
        <f>SUM(L8:L18)</f>
        <v>60589170</v>
      </c>
      <c r="M21" s="716">
        <f>SUM(M8:M18)</f>
        <v>60384630</v>
      </c>
      <c r="N21" s="716">
        <f t="shared" si="1"/>
        <v>0</v>
      </c>
      <c r="O21" s="716">
        <f t="shared" si="1"/>
        <v>0</v>
      </c>
      <c r="P21" s="716">
        <f t="shared" si="1"/>
        <v>0</v>
      </c>
      <c r="Q21" s="982" t="e">
        <f>O21/N21</f>
        <v>#DIV/0!</v>
      </c>
      <c r="R21" s="716">
        <f aca="true" t="shared" si="2" ref="R21:W21">SUM(R8:R18)</f>
        <v>1841724</v>
      </c>
      <c r="S21" s="717">
        <f t="shared" si="2"/>
        <v>1841724</v>
      </c>
      <c r="T21" s="717">
        <f t="shared" si="2"/>
        <v>1841724</v>
      </c>
      <c r="U21" s="717">
        <f t="shared" si="2"/>
        <v>0</v>
      </c>
      <c r="V21" s="717">
        <f t="shared" si="2"/>
        <v>0</v>
      </c>
      <c r="W21" s="717">
        <f t="shared" si="2"/>
        <v>0</v>
      </c>
      <c r="X21" s="718" t="e">
        <f>V21/U21</f>
        <v>#DIV/0!</v>
      </c>
    </row>
    <row r="23" spans="4:19" ht="12.75">
      <c r="D23" s="9"/>
      <c r="E23" s="9"/>
      <c r="F23" s="9"/>
      <c r="G23" s="9"/>
      <c r="H23" s="9"/>
      <c r="I23" s="9"/>
      <c r="J23" s="9"/>
      <c r="K23" s="9"/>
      <c r="L23" s="9"/>
      <c r="R23" s="9"/>
      <c r="S23" s="9"/>
    </row>
    <row r="24" spans="4:19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4:19" ht="12.75">
      <c r="D25" s="9"/>
      <c r="E25" s="9"/>
      <c r="F25" s="9"/>
      <c r="G25" s="9"/>
      <c r="H25" s="689"/>
      <c r="I25" s="68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4:19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4:19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4:19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4:19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4:19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4:19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4:19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4:19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4:19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4:19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4:19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4:19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4:19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</sheetData>
  <sheetProtection/>
  <mergeCells count="21">
    <mergeCell ref="B21:C21"/>
    <mergeCell ref="B15:C15"/>
    <mergeCell ref="B16:C16"/>
    <mergeCell ref="B17:C17"/>
    <mergeCell ref="B18:C18"/>
    <mergeCell ref="B19:C19"/>
    <mergeCell ref="B20:C20"/>
    <mergeCell ref="B8:C8"/>
    <mergeCell ref="B9:C9"/>
    <mergeCell ref="B10:C10"/>
    <mergeCell ref="B11:C11"/>
    <mergeCell ref="B12:C12"/>
    <mergeCell ref="B13:C13"/>
    <mergeCell ref="K1:R1"/>
    <mergeCell ref="A2:R2"/>
    <mergeCell ref="A3:R3"/>
    <mergeCell ref="A4:R4"/>
    <mergeCell ref="B6:C6"/>
    <mergeCell ref="D6:J6"/>
    <mergeCell ref="K6:Q6"/>
    <mergeCell ref="R6:X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view="pageBreakPreview" zoomScale="60" zoomScaleNormal="75" workbookViewId="0" topLeftCell="D1">
      <selection activeCell="S19" sqref="S19"/>
    </sheetView>
  </sheetViews>
  <sheetFormatPr defaultColWidth="9.140625" defaultRowHeight="12.75"/>
  <cols>
    <col min="1" max="1" width="40.00390625" style="13" customWidth="1"/>
    <col min="2" max="2" width="13.28125" style="13" customWidth="1"/>
    <col min="3" max="3" width="22.57421875" style="31" customWidth="1"/>
    <col min="4" max="5" width="17.00390625" style="31" customWidth="1"/>
    <col min="6" max="6" width="17.00390625" style="31" hidden="1" customWidth="1"/>
    <col min="7" max="8" width="12.7109375" style="31" hidden="1" customWidth="1"/>
    <col min="9" max="9" width="5.28125" style="31" hidden="1" customWidth="1"/>
    <col min="10" max="10" width="21.00390625" style="31" customWidth="1"/>
    <col min="11" max="12" width="17.00390625" style="31" customWidth="1"/>
    <col min="13" max="13" width="17.00390625" style="31" hidden="1" customWidth="1"/>
    <col min="14" max="15" width="12.7109375" style="31" hidden="1" customWidth="1"/>
    <col min="16" max="16" width="12.57421875" style="31" hidden="1" customWidth="1"/>
    <col min="17" max="17" width="22.57421875" style="31" customWidth="1"/>
    <col min="18" max="18" width="14.28125" style="13" customWidth="1"/>
    <col min="19" max="19" width="17.421875" style="13" customWidth="1"/>
    <col min="20" max="20" width="10.421875" style="13" hidden="1" customWidth="1"/>
    <col min="21" max="22" width="12.7109375" style="13" hidden="1" customWidth="1"/>
    <col min="23" max="23" width="16.140625" style="13" hidden="1" customWidth="1"/>
    <col min="24" max="24" width="17.7109375" style="13" customWidth="1"/>
    <col min="25" max="25" width="9.140625" style="13" customWidth="1"/>
    <col min="26" max="26" width="13.28125" style="13" bestFit="1" customWidth="1"/>
    <col min="27" max="27" width="15.57421875" style="13" bestFit="1" customWidth="1"/>
    <col min="28" max="16384" width="9.140625" style="13" customWidth="1"/>
  </cols>
  <sheetData>
    <row r="1" spans="10:17" ht="24.75" customHeight="1">
      <c r="J1" s="1251" t="s">
        <v>382</v>
      </c>
      <c r="K1" s="1251"/>
      <c r="L1" s="1251"/>
      <c r="M1" s="1251"/>
      <c r="N1" s="1251"/>
      <c r="O1" s="1251"/>
      <c r="P1" s="1251"/>
      <c r="Q1" s="1251"/>
    </row>
    <row r="2" spans="1:17" ht="37.5" customHeight="1">
      <c r="A2" s="1252" t="s">
        <v>425</v>
      </c>
      <c r="B2" s="1252"/>
      <c r="C2" s="1253"/>
      <c r="D2" s="1253"/>
      <c r="E2" s="1253"/>
      <c r="F2" s="1253"/>
      <c r="G2" s="1253"/>
      <c r="H2" s="1253"/>
      <c r="I2" s="1253"/>
      <c r="J2" s="1253"/>
      <c r="K2" s="1253"/>
      <c r="L2" s="1253"/>
      <c r="M2" s="1253"/>
      <c r="N2" s="1253"/>
      <c r="O2" s="1253"/>
      <c r="P2" s="1253"/>
      <c r="Q2" s="1253"/>
    </row>
    <row r="3" spans="1:17" ht="18.75" customHeight="1">
      <c r="A3" s="1254" t="s">
        <v>566</v>
      </c>
      <c r="B3" s="1254"/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254"/>
      <c r="O3" s="1254"/>
      <c r="P3" s="1254"/>
      <c r="Q3" s="1254"/>
    </row>
    <row r="4" spans="1:17" ht="15.75">
      <c r="A4" s="1255" t="s">
        <v>426</v>
      </c>
      <c r="B4" s="1255"/>
      <c r="C4" s="1255"/>
      <c r="D4" s="1255"/>
      <c r="E4" s="1255"/>
      <c r="F4" s="1255"/>
      <c r="G4" s="1255"/>
      <c r="H4" s="1255"/>
      <c r="I4" s="1255"/>
      <c r="J4" s="1255"/>
      <c r="K4" s="1255"/>
      <c r="L4" s="1255"/>
      <c r="M4" s="1255"/>
      <c r="N4" s="1255"/>
      <c r="O4" s="1255"/>
      <c r="P4" s="1255"/>
      <c r="Q4" s="1255"/>
    </row>
    <row r="5" spans="1:17" ht="19.5" thickBot="1">
      <c r="A5" s="720"/>
      <c r="B5" s="720"/>
      <c r="Q5" s="719" t="s">
        <v>547</v>
      </c>
    </row>
    <row r="6" spans="1:24" ht="19.5" customHeight="1">
      <c r="A6" s="1256" t="s">
        <v>427</v>
      </c>
      <c r="B6" s="1259" t="s">
        <v>428</v>
      </c>
      <c r="C6" s="1262" t="s">
        <v>5</v>
      </c>
      <c r="D6" s="1263"/>
      <c r="E6" s="1263"/>
      <c r="F6" s="1263"/>
      <c r="G6" s="1263"/>
      <c r="H6" s="1263"/>
      <c r="I6" s="1264"/>
      <c r="J6" s="1262" t="s">
        <v>429</v>
      </c>
      <c r="K6" s="1263"/>
      <c r="L6" s="1263"/>
      <c r="M6" s="1263"/>
      <c r="N6" s="1263"/>
      <c r="O6" s="1263"/>
      <c r="P6" s="1264"/>
      <c r="Q6" s="1262" t="s">
        <v>29</v>
      </c>
      <c r="R6" s="1263"/>
      <c r="S6" s="1263"/>
      <c r="T6" s="1263"/>
      <c r="U6" s="1263"/>
      <c r="V6" s="1263"/>
      <c r="W6" s="1271"/>
      <c r="X6" s="721"/>
    </row>
    <row r="7" spans="1:24" ht="12.75" customHeight="1">
      <c r="A7" s="1257"/>
      <c r="B7" s="1260"/>
      <c r="C7" s="1265"/>
      <c r="D7" s="1266"/>
      <c r="E7" s="1266"/>
      <c r="F7" s="1266"/>
      <c r="G7" s="1266"/>
      <c r="H7" s="1266"/>
      <c r="I7" s="1267"/>
      <c r="J7" s="1265"/>
      <c r="K7" s="1266"/>
      <c r="L7" s="1266"/>
      <c r="M7" s="1266"/>
      <c r="N7" s="1266"/>
      <c r="O7" s="1266"/>
      <c r="P7" s="1267"/>
      <c r="Q7" s="1265"/>
      <c r="R7" s="1266"/>
      <c r="S7" s="1266"/>
      <c r="T7" s="1266"/>
      <c r="U7" s="1266"/>
      <c r="V7" s="1266"/>
      <c r="W7" s="1272"/>
      <c r="X7" s="723"/>
    </row>
    <row r="8" spans="1:24" ht="20.25" customHeight="1" thickBot="1">
      <c r="A8" s="1258"/>
      <c r="B8" s="1261"/>
      <c r="C8" s="1268"/>
      <c r="D8" s="1269"/>
      <c r="E8" s="1269"/>
      <c r="F8" s="1269"/>
      <c r="G8" s="1269"/>
      <c r="H8" s="1269"/>
      <c r="I8" s="1270"/>
      <c r="J8" s="1268"/>
      <c r="K8" s="1269"/>
      <c r="L8" s="1269"/>
      <c r="M8" s="1269"/>
      <c r="N8" s="1269"/>
      <c r="O8" s="1269"/>
      <c r="P8" s="1270"/>
      <c r="Q8" s="1268"/>
      <c r="R8" s="1269"/>
      <c r="S8" s="1269"/>
      <c r="T8" s="1269"/>
      <c r="U8" s="1269"/>
      <c r="V8" s="1269"/>
      <c r="W8" s="1273"/>
      <c r="X8" s="723"/>
    </row>
    <row r="9" spans="1:24" ht="57" thickTop="1">
      <c r="A9" s="724"/>
      <c r="B9" s="722"/>
      <c r="C9" s="725" t="s">
        <v>70</v>
      </c>
      <c r="D9" s="725" t="s">
        <v>241</v>
      </c>
      <c r="E9" s="725" t="s">
        <v>244</v>
      </c>
      <c r="F9" s="725" t="s">
        <v>247</v>
      </c>
      <c r="G9" s="726" t="s">
        <v>263</v>
      </c>
      <c r="H9" s="726" t="s">
        <v>269</v>
      </c>
      <c r="I9" s="726" t="s">
        <v>251</v>
      </c>
      <c r="J9" s="725" t="s">
        <v>70</v>
      </c>
      <c r="K9" s="725" t="s">
        <v>241</v>
      </c>
      <c r="L9" s="725" t="s">
        <v>244</v>
      </c>
      <c r="M9" s="725" t="s">
        <v>247</v>
      </c>
      <c r="N9" s="726" t="s">
        <v>263</v>
      </c>
      <c r="O9" s="726" t="s">
        <v>269</v>
      </c>
      <c r="P9" s="726" t="s">
        <v>251</v>
      </c>
      <c r="Q9" s="725" t="s">
        <v>70</v>
      </c>
      <c r="R9" s="725" t="s">
        <v>241</v>
      </c>
      <c r="S9" s="725" t="s">
        <v>244</v>
      </c>
      <c r="T9" s="725" t="s">
        <v>247</v>
      </c>
      <c r="U9" s="726" t="s">
        <v>263</v>
      </c>
      <c r="V9" s="726" t="s">
        <v>269</v>
      </c>
      <c r="W9" s="727" t="s">
        <v>251</v>
      </c>
      <c r="X9" s="723"/>
    </row>
    <row r="10" spans="1:24" ht="27" customHeight="1">
      <c r="A10" s="728" t="s">
        <v>497</v>
      </c>
      <c r="B10" s="729" t="s">
        <v>215</v>
      </c>
      <c r="C10" s="730">
        <v>100000</v>
      </c>
      <c r="D10" s="730">
        <v>100000</v>
      </c>
      <c r="E10" s="730">
        <v>100000</v>
      </c>
      <c r="F10" s="730"/>
      <c r="G10" s="730"/>
      <c r="H10" s="730"/>
      <c r="I10" s="732"/>
      <c r="J10" s="730"/>
      <c r="K10" s="730"/>
      <c r="L10" s="730"/>
      <c r="M10" s="730"/>
      <c r="N10" s="731"/>
      <c r="O10" s="731"/>
      <c r="P10" s="732"/>
      <c r="Q10" s="730">
        <v>100000</v>
      </c>
      <c r="R10" s="730">
        <v>100000</v>
      </c>
      <c r="S10" s="730">
        <v>100000</v>
      </c>
      <c r="T10" s="730"/>
      <c r="U10" s="730"/>
      <c r="V10" s="730"/>
      <c r="W10" s="732" t="e">
        <f aca="true" t="shared" si="0" ref="W10:W15">U10/T10</f>
        <v>#DIV/0!</v>
      </c>
      <c r="X10" s="723"/>
    </row>
    <row r="11" spans="1:24" ht="27.75" customHeight="1">
      <c r="A11" s="728" t="s">
        <v>498</v>
      </c>
      <c r="B11" s="729" t="s">
        <v>215</v>
      </c>
      <c r="C11" s="730">
        <v>500000</v>
      </c>
      <c r="D11" s="730">
        <v>500000</v>
      </c>
      <c r="E11" s="730">
        <v>500000</v>
      </c>
      <c r="F11" s="730"/>
      <c r="G11" s="730"/>
      <c r="H11" s="730"/>
      <c r="I11" s="732"/>
      <c r="J11" s="730"/>
      <c r="K11" s="730"/>
      <c r="L11" s="730"/>
      <c r="M11" s="730"/>
      <c r="N11" s="730"/>
      <c r="O11" s="731"/>
      <c r="P11" s="732"/>
      <c r="Q11" s="730">
        <v>500000</v>
      </c>
      <c r="R11" s="730">
        <v>500000</v>
      </c>
      <c r="S11" s="730">
        <v>500000</v>
      </c>
      <c r="T11" s="730"/>
      <c r="U11" s="730"/>
      <c r="V11" s="730"/>
      <c r="W11" s="732" t="e">
        <f t="shared" si="0"/>
        <v>#DIV/0!</v>
      </c>
      <c r="X11" s="723"/>
    </row>
    <row r="12" spans="1:24" ht="27" customHeight="1" hidden="1">
      <c r="A12" s="728" t="s">
        <v>430</v>
      </c>
      <c r="B12" s="729" t="s">
        <v>215</v>
      </c>
      <c r="C12" s="730"/>
      <c r="D12" s="730"/>
      <c r="E12" s="730"/>
      <c r="F12" s="730"/>
      <c r="G12" s="730"/>
      <c r="H12" s="730"/>
      <c r="I12" s="732"/>
      <c r="J12" s="730"/>
      <c r="K12" s="730"/>
      <c r="L12" s="730"/>
      <c r="M12" s="730"/>
      <c r="N12" s="730"/>
      <c r="O12" s="730"/>
      <c r="P12" s="733"/>
      <c r="Q12" s="730"/>
      <c r="R12" s="730"/>
      <c r="S12" s="730"/>
      <c r="T12" s="730"/>
      <c r="U12" s="730"/>
      <c r="V12" s="730"/>
      <c r="W12" s="732" t="e">
        <f t="shared" si="0"/>
        <v>#DIV/0!</v>
      </c>
      <c r="X12" s="723"/>
    </row>
    <row r="13" spans="1:26" ht="28.5" customHeight="1">
      <c r="A13" s="728" t="s">
        <v>499</v>
      </c>
      <c r="B13" s="729" t="s">
        <v>215</v>
      </c>
      <c r="C13" s="730">
        <v>1150000</v>
      </c>
      <c r="D13" s="730">
        <v>1150000</v>
      </c>
      <c r="E13" s="730">
        <v>1150000</v>
      </c>
      <c r="F13" s="730"/>
      <c r="G13" s="730"/>
      <c r="H13" s="730"/>
      <c r="I13" s="732"/>
      <c r="J13" s="730"/>
      <c r="K13" s="730"/>
      <c r="L13" s="730"/>
      <c r="M13" s="730"/>
      <c r="N13" s="730"/>
      <c r="O13" s="730"/>
      <c r="P13" s="733"/>
      <c r="Q13" s="730">
        <v>1150000</v>
      </c>
      <c r="R13" s="730">
        <v>1150000</v>
      </c>
      <c r="S13" s="730">
        <v>1150000</v>
      </c>
      <c r="T13" s="730"/>
      <c r="U13" s="730"/>
      <c r="V13" s="730"/>
      <c r="W13" s="732" t="e">
        <f t="shared" si="0"/>
        <v>#DIV/0!</v>
      </c>
      <c r="X13" s="723"/>
      <c r="Z13" s="31"/>
    </row>
    <row r="14" spans="1:24" ht="32.25" customHeight="1">
      <c r="A14" s="728" t="s">
        <v>500</v>
      </c>
      <c r="B14" s="729" t="s">
        <v>215</v>
      </c>
      <c r="C14" s="730">
        <v>500000</v>
      </c>
      <c r="D14" s="730">
        <v>500000</v>
      </c>
      <c r="E14" s="730">
        <v>500000</v>
      </c>
      <c r="F14" s="730"/>
      <c r="G14" s="730"/>
      <c r="H14" s="730"/>
      <c r="I14" s="732"/>
      <c r="J14" s="730"/>
      <c r="K14" s="730"/>
      <c r="L14" s="730"/>
      <c r="M14" s="730"/>
      <c r="N14" s="730"/>
      <c r="O14" s="730"/>
      <c r="P14" s="733"/>
      <c r="Q14" s="730">
        <v>500000</v>
      </c>
      <c r="R14" s="730">
        <v>500000</v>
      </c>
      <c r="S14" s="730">
        <v>500000</v>
      </c>
      <c r="T14" s="730"/>
      <c r="U14" s="730"/>
      <c r="V14" s="730"/>
      <c r="W14" s="732" t="e">
        <f t="shared" si="0"/>
        <v>#DIV/0!</v>
      </c>
      <c r="X14" s="723"/>
    </row>
    <row r="15" spans="1:24" ht="33" customHeight="1">
      <c r="A15" s="728" t="s">
        <v>509</v>
      </c>
      <c r="B15" s="729" t="s">
        <v>215</v>
      </c>
      <c r="C15" s="735">
        <v>500000</v>
      </c>
      <c r="D15" s="735">
        <v>500000</v>
      </c>
      <c r="E15" s="735">
        <v>500000</v>
      </c>
      <c r="F15" s="735"/>
      <c r="G15" s="735"/>
      <c r="H15" s="735"/>
      <c r="I15" s="732"/>
      <c r="J15" s="735"/>
      <c r="K15" s="735"/>
      <c r="L15" s="735"/>
      <c r="M15" s="735"/>
      <c r="N15" s="735"/>
      <c r="O15" s="735"/>
      <c r="P15" s="733"/>
      <c r="Q15" s="735">
        <v>500000</v>
      </c>
      <c r="R15" s="735">
        <v>500000</v>
      </c>
      <c r="S15" s="735">
        <v>500000</v>
      </c>
      <c r="T15" s="735"/>
      <c r="U15" s="735"/>
      <c r="V15" s="735"/>
      <c r="W15" s="732" t="e">
        <f t="shared" si="0"/>
        <v>#DIV/0!</v>
      </c>
      <c r="X15" s="723"/>
    </row>
    <row r="16" spans="1:24" ht="33" customHeight="1">
      <c r="A16" s="728" t="s">
        <v>568</v>
      </c>
      <c r="B16" s="729" t="s">
        <v>216</v>
      </c>
      <c r="C16" s="735">
        <v>977016</v>
      </c>
      <c r="D16" s="735">
        <v>977016</v>
      </c>
      <c r="E16" s="735">
        <v>977016</v>
      </c>
      <c r="F16" s="735"/>
      <c r="G16" s="735"/>
      <c r="H16" s="735"/>
      <c r="I16" s="733"/>
      <c r="J16" s="735">
        <v>644670</v>
      </c>
      <c r="K16" s="735">
        <v>644670</v>
      </c>
      <c r="L16" s="735">
        <v>644670</v>
      </c>
      <c r="M16" s="735"/>
      <c r="N16" s="735"/>
      <c r="O16" s="735"/>
      <c r="P16" s="733"/>
      <c r="Q16" s="735">
        <f aca="true" t="shared" si="1" ref="Q16:S18">C16-J16</f>
        <v>332346</v>
      </c>
      <c r="R16" s="735">
        <f t="shared" si="1"/>
        <v>332346</v>
      </c>
      <c r="S16" s="735">
        <f t="shared" si="1"/>
        <v>332346</v>
      </c>
      <c r="T16" s="735"/>
      <c r="U16" s="735"/>
      <c r="V16" s="735"/>
      <c r="W16" s="983"/>
      <c r="X16" s="723"/>
    </row>
    <row r="17" spans="1:24" ht="33" customHeight="1" hidden="1" thickBot="1">
      <c r="A17" s="1042" t="s">
        <v>527</v>
      </c>
      <c r="B17" s="1043" t="s">
        <v>216</v>
      </c>
      <c r="C17" s="1044"/>
      <c r="D17" s="1044"/>
      <c r="E17" s="1044"/>
      <c r="F17" s="1044"/>
      <c r="G17" s="1044"/>
      <c r="H17" s="1044"/>
      <c r="I17" s="1045"/>
      <c r="J17" s="1044"/>
      <c r="K17" s="1044"/>
      <c r="L17" s="1044"/>
      <c r="M17" s="1046"/>
      <c r="N17" s="1044"/>
      <c r="O17" s="1044"/>
      <c r="P17" s="1045"/>
      <c r="Q17" s="735">
        <f t="shared" si="1"/>
        <v>0</v>
      </c>
      <c r="R17" s="735">
        <f t="shared" si="1"/>
        <v>0</v>
      </c>
      <c r="S17" s="735">
        <f t="shared" si="1"/>
        <v>0</v>
      </c>
      <c r="T17" s="1044"/>
      <c r="U17" s="1044"/>
      <c r="V17" s="1044"/>
      <c r="W17" s="983"/>
      <c r="X17" s="723"/>
    </row>
    <row r="18" spans="1:24" ht="33" customHeight="1" thickBot="1">
      <c r="A18" s="1042" t="s">
        <v>567</v>
      </c>
      <c r="B18" s="1043" t="s">
        <v>216</v>
      </c>
      <c r="C18" s="1044">
        <v>1047750</v>
      </c>
      <c r="D18" s="1044">
        <v>1047750</v>
      </c>
      <c r="E18" s="1044">
        <v>1047750</v>
      </c>
      <c r="F18" s="1044"/>
      <c r="G18" s="1044"/>
      <c r="H18" s="1044"/>
      <c r="I18" s="1045"/>
      <c r="J18" s="1044">
        <v>977900</v>
      </c>
      <c r="K18" s="1044">
        <v>977900</v>
      </c>
      <c r="L18" s="1044">
        <v>977900</v>
      </c>
      <c r="M18" s="1046"/>
      <c r="N18" s="1044"/>
      <c r="O18" s="1044"/>
      <c r="P18" s="1045"/>
      <c r="Q18" s="735">
        <f t="shared" si="1"/>
        <v>69850</v>
      </c>
      <c r="R18" s="735">
        <f t="shared" si="1"/>
        <v>69850</v>
      </c>
      <c r="S18" s="735">
        <f t="shared" si="1"/>
        <v>69850</v>
      </c>
      <c r="T18" s="1044"/>
      <c r="U18" s="1044"/>
      <c r="V18" s="1044"/>
      <c r="W18" s="983"/>
      <c r="X18" s="1049"/>
    </row>
    <row r="19" spans="1:24" ht="39" customHeight="1" thickBot="1" thickTop="1">
      <c r="A19" s="736" t="s">
        <v>22</v>
      </c>
      <c r="B19" s="737"/>
      <c r="C19" s="738">
        <f>SUM(C10:C18)</f>
        <v>4774766</v>
      </c>
      <c r="D19" s="738">
        <f>SUM(D10:D18)</f>
        <v>4774766</v>
      </c>
      <c r="E19" s="738">
        <f>SUM(E10:E18)</f>
        <v>4774766</v>
      </c>
      <c r="F19" s="738">
        <f aca="true" t="shared" si="2" ref="F19:Q19">SUM(F10:F18)</f>
        <v>0</v>
      </c>
      <c r="G19" s="738">
        <f t="shared" si="2"/>
        <v>0</v>
      </c>
      <c r="H19" s="738">
        <f t="shared" si="2"/>
        <v>0</v>
      </c>
      <c r="I19" s="738">
        <f t="shared" si="2"/>
        <v>0</v>
      </c>
      <c r="J19" s="738">
        <f t="shared" si="2"/>
        <v>1622570</v>
      </c>
      <c r="K19" s="738">
        <f>SUM(K10:K18)</f>
        <v>1622570</v>
      </c>
      <c r="L19" s="738">
        <f t="shared" si="2"/>
        <v>1622570</v>
      </c>
      <c r="M19" s="738">
        <f t="shared" si="2"/>
        <v>0</v>
      </c>
      <c r="N19" s="738">
        <f t="shared" si="2"/>
        <v>0</v>
      </c>
      <c r="O19" s="738">
        <f t="shared" si="2"/>
        <v>0</v>
      </c>
      <c r="P19" s="738">
        <f t="shared" si="2"/>
        <v>0</v>
      </c>
      <c r="Q19" s="738">
        <f t="shared" si="2"/>
        <v>3152196</v>
      </c>
      <c r="R19" s="738">
        <f>SUM(R10:R18)</f>
        <v>3152196</v>
      </c>
      <c r="S19" s="738">
        <f>SUM(S10:S18)</f>
        <v>3152196</v>
      </c>
      <c r="T19" s="738">
        <f>SUM(T10:T15)</f>
        <v>0</v>
      </c>
      <c r="U19" s="738">
        <f>SUM(U10:U15)</f>
        <v>0</v>
      </c>
      <c r="V19" s="738">
        <f>SUM(V10:V15)</f>
        <v>0</v>
      </c>
      <c r="W19" s="739">
        <f>U19/R19</f>
        <v>0</v>
      </c>
      <c r="X19" s="723"/>
    </row>
    <row r="20" spans="1:24" ht="19.5" customHeight="1">
      <c r="A20" s="740"/>
      <c r="B20" s="740"/>
      <c r="C20" s="741"/>
      <c r="D20" s="741"/>
      <c r="E20" s="741"/>
      <c r="F20" s="741"/>
      <c r="G20" s="741"/>
      <c r="H20" s="741"/>
      <c r="I20" s="741"/>
      <c r="J20" s="741"/>
      <c r="K20" s="741"/>
      <c r="L20" s="741"/>
      <c r="M20" s="741"/>
      <c r="N20" s="741"/>
      <c r="O20" s="741"/>
      <c r="P20" s="741"/>
      <c r="Q20" s="741"/>
      <c r="X20" s="742"/>
    </row>
    <row r="21" spans="1:17" ht="66" customHeight="1" thickBot="1">
      <c r="A21" s="1274" t="s">
        <v>431</v>
      </c>
      <c r="B21" s="1274"/>
      <c r="C21" s="1274"/>
      <c r="D21" s="1274"/>
      <c r="E21" s="1274"/>
      <c r="F21" s="1274"/>
      <c r="G21" s="1274"/>
      <c r="H21" s="1274"/>
      <c r="I21" s="1274"/>
      <c r="J21" s="1274"/>
      <c r="K21" s="1274"/>
      <c r="L21" s="1274"/>
      <c r="M21" s="1274"/>
      <c r="N21" s="1274"/>
      <c r="O21" s="1274"/>
      <c r="P21" s="1274"/>
      <c r="Q21" s="1274"/>
    </row>
    <row r="22" spans="1:24" ht="19.5" customHeight="1">
      <c r="A22" s="1256" t="s">
        <v>427</v>
      </c>
      <c r="B22" s="1259" t="s">
        <v>428</v>
      </c>
      <c r="C22" s="1262" t="s">
        <v>5</v>
      </c>
      <c r="D22" s="1263"/>
      <c r="E22" s="1263"/>
      <c r="F22" s="1263"/>
      <c r="G22" s="1263"/>
      <c r="H22" s="1263"/>
      <c r="I22" s="1264"/>
      <c r="J22" s="1262" t="s">
        <v>429</v>
      </c>
      <c r="K22" s="1263"/>
      <c r="L22" s="1263"/>
      <c r="M22" s="1263"/>
      <c r="N22" s="1263"/>
      <c r="O22" s="1263"/>
      <c r="P22" s="1264"/>
      <c r="Q22" s="1262" t="s">
        <v>29</v>
      </c>
      <c r="R22" s="1263"/>
      <c r="S22" s="1263"/>
      <c r="T22" s="1263"/>
      <c r="U22" s="1263"/>
      <c r="V22" s="1263"/>
      <c r="W22" s="1271"/>
      <c r="X22" s="723"/>
    </row>
    <row r="23" spans="1:24" s="744" customFormat="1" ht="19.5" customHeight="1">
      <c r="A23" s="1257"/>
      <c r="B23" s="1260"/>
      <c r="C23" s="1265"/>
      <c r="D23" s="1266"/>
      <c r="E23" s="1266"/>
      <c r="F23" s="1266"/>
      <c r="G23" s="1266"/>
      <c r="H23" s="1266"/>
      <c r="I23" s="1267"/>
      <c r="J23" s="1265"/>
      <c r="K23" s="1266"/>
      <c r="L23" s="1266"/>
      <c r="M23" s="1266"/>
      <c r="N23" s="1266"/>
      <c r="O23" s="1266"/>
      <c r="P23" s="1267"/>
      <c r="Q23" s="1265"/>
      <c r="R23" s="1266"/>
      <c r="S23" s="1266"/>
      <c r="T23" s="1266"/>
      <c r="U23" s="1266"/>
      <c r="V23" s="1266"/>
      <c r="W23" s="1272"/>
      <c r="X23" s="743"/>
    </row>
    <row r="24" spans="1:24" s="744" customFormat="1" ht="19.5" customHeight="1" thickBot="1">
      <c r="A24" s="1258"/>
      <c r="B24" s="1261"/>
      <c r="C24" s="1268"/>
      <c r="D24" s="1269"/>
      <c r="E24" s="1269"/>
      <c r="F24" s="1269"/>
      <c r="G24" s="1269"/>
      <c r="H24" s="1269"/>
      <c r="I24" s="1270"/>
      <c r="J24" s="1268"/>
      <c r="K24" s="1269"/>
      <c r="L24" s="1269"/>
      <c r="M24" s="1269"/>
      <c r="N24" s="1269"/>
      <c r="O24" s="1269"/>
      <c r="P24" s="1270"/>
      <c r="Q24" s="1268"/>
      <c r="R24" s="1269"/>
      <c r="S24" s="1269"/>
      <c r="T24" s="1269"/>
      <c r="U24" s="1269"/>
      <c r="V24" s="1269"/>
      <c r="W24" s="1273"/>
      <c r="X24" s="743"/>
    </row>
    <row r="25" spans="1:24" s="744" customFormat="1" ht="57.75" customHeight="1" thickTop="1">
      <c r="A25" s="745"/>
      <c r="B25" s="746"/>
      <c r="C25" s="726" t="s">
        <v>70</v>
      </c>
      <c r="D25" s="726" t="s">
        <v>241</v>
      </c>
      <c r="E25" s="726" t="s">
        <v>244</v>
      </c>
      <c r="F25" s="725" t="s">
        <v>247</v>
      </c>
      <c r="G25" s="726" t="s">
        <v>263</v>
      </c>
      <c r="H25" s="726" t="s">
        <v>269</v>
      </c>
      <c r="I25" s="726" t="s">
        <v>251</v>
      </c>
      <c r="J25" s="726" t="s">
        <v>70</v>
      </c>
      <c r="K25" s="726" t="s">
        <v>241</v>
      </c>
      <c r="L25" s="726" t="s">
        <v>244</v>
      </c>
      <c r="M25" s="725" t="s">
        <v>247</v>
      </c>
      <c r="N25" s="726" t="s">
        <v>263</v>
      </c>
      <c r="O25" s="726" t="s">
        <v>269</v>
      </c>
      <c r="P25" s="726" t="s">
        <v>251</v>
      </c>
      <c r="Q25" s="726" t="s">
        <v>70</v>
      </c>
      <c r="R25" s="726" t="s">
        <v>241</v>
      </c>
      <c r="S25" s="726" t="s">
        <v>244</v>
      </c>
      <c r="T25" s="725" t="s">
        <v>247</v>
      </c>
      <c r="U25" s="726" t="s">
        <v>263</v>
      </c>
      <c r="V25" s="726" t="s">
        <v>269</v>
      </c>
      <c r="W25" s="727" t="s">
        <v>251</v>
      </c>
      <c r="X25" s="743"/>
    </row>
    <row r="26" spans="1:24" s="744" customFormat="1" ht="34.5" customHeight="1" hidden="1">
      <c r="A26" s="747" t="s">
        <v>432</v>
      </c>
      <c r="B26" s="748" t="s">
        <v>216</v>
      </c>
      <c r="C26" s="750"/>
      <c r="D26" s="750"/>
      <c r="E26" s="750"/>
      <c r="F26" s="750"/>
      <c r="G26" s="750"/>
      <c r="H26" s="750"/>
      <c r="I26" s="732"/>
      <c r="J26" s="750"/>
      <c r="K26" s="750"/>
      <c r="L26" s="750"/>
      <c r="M26" s="750"/>
      <c r="N26" s="750"/>
      <c r="O26" s="749"/>
      <c r="P26" s="732"/>
      <c r="Q26" s="750"/>
      <c r="R26" s="750"/>
      <c r="S26" s="750"/>
      <c r="T26" s="750"/>
      <c r="U26" s="749"/>
      <c r="V26" s="749"/>
      <c r="W26" s="732" t="e">
        <f>U26/R26</f>
        <v>#DIV/0!</v>
      </c>
      <c r="X26" s="743"/>
    </row>
    <row r="27" spans="1:24" s="744" customFormat="1" ht="30" hidden="1">
      <c r="A27" s="751" t="s">
        <v>433</v>
      </c>
      <c r="B27" s="752" t="s">
        <v>216</v>
      </c>
      <c r="C27" s="750"/>
      <c r="D27" s="750"/>
      <c r="E27" s="750"/>
      <c r="F27" s="750"/>
      <c r="G27" s="750"/>
      <c r="H27" s="750"/>
      <c r="I27" s="732"/>
      <c r="J27" s="750"/>
      <c r="K27" s="750"/>
      <c r="L27" s="750"/>
      <c r="M27" s="750"/>
      <c r="N27" s="750"/>
      <c r="O27" s="749"/>
      <c r="P27" s="732"/>
      <c r="Q27" s="749"/>
      <c r="R27" s="749"/>
      <c r="S27" s="749"/>
      <c r="T27" s="749"/>
      <c r="U27" s="750"/>
      <c r="V27" s="750"/>
      <c r="W27" s="732" t="e">
        <f>U27/R27</f>
        <v>#DIV/0!</v>
      </c>
      <c r="X27" s="743"/>
    </row>
    <row r="28" spans="1:24" s="744" customFormat="1" ht="30.75" customHeight="1" hidden="1">
      <c r="A28" s="751" t="s">
        <v>434</v>
      </c>
      <c r="B28" s="752" t="s">
        <v>216</v>
      </c>
      <c r="C28" s="750"/>
      <c r="D28" s="750"/>
      <c r="E28" s="750"/>
      <c r="F28" s="750"/>
      <c r="G28" s="750"/>
      <c r="H28" s="750"/>
      <c r="I28" s="732"/>
      <c r="J28" s="750"/>
      <c r="K28" s="750"/>
      <c r="L28" s="750"/>
      <c r="M28" s="750"/>
      <c r="N28" s="750"/>
      <c r="O28" s="749"/>
      <c r="P28" s="732"/>
      <c r="Q28" s="749"/>
      <c r="R28" s="749"/>
      <c r="S28" s="749"/>
      <c r="T28" s="749"/>
      <c r="U28" s="750"/>
      <c r="V28" s="750"/>
      <c r="W28" s="732" t="e">
        <f>U28/R28</f>
        <v>#DIV/0!</v>
      </c>
      <c r="X28" s="743"/>
    </row>
    <row r="29" spans="1:24" s="744" customFormat="1" ht="31.5" customHeight="1" thickBot="1">
      <c r="A29" s="751" t="s">
        <v>435</v>
      </c>
      <c r="B29" s="752" t="s">
        <v>216</v>
      </c>
      <c r="C29" s="750"/>
      <c r="D29" s="750"/>
      <c r="E29" s="750">
        <v>2500</v>
      </c>
      <c r="F29" s="750"/>
      <c r="G29" s="750"/>
      <c r="H29" s="750"/>
      <c r="I29" s="732"/>
      <c r="J29" s="750"/>
      <c r="K29" s="750"/>
      <c r="L29" s="750">
        <v>2250</v>
      </c>
      <c r="M29" s="750"/>
      <c r="N29" s="750"/>
      <c r="O29" s="749"/>
      <c r="P29" s="732"/>
      <c r="Q29" s="749"/>
      <c r="R29" s="749"/>
      <c r="S29" s="749">
        <v>250</v>
      </c>
      <c r="T29" s="749"/>
      <c r="U29" s="750"/>
      <c r="V29" s="750"/>
      <c r="W29" s="732" t="e">
        <f>U29/R29</f>
        <v>#DIV/0!</v>
      </c>
      <c r="X29" s="743"/>
    </row>
    <row r="30" spans="1:24" s="744" customFormat="1" ht="31.5" customHeight="1" hidden="1">
      <c r="A30" s="751" t="s">
        <v>436</v>
      </c>
      <c r="B30" s="752" t="s">
        <v>216</v>
      </c>
      <c r="C30" s="735"/>
      <c r="D30" s="735"/>
      <c r="E30" s="735"/>
      <c r="F30" s="735"/>
      <c r="G30" s="735"/>
      <c r="H30" s="735"/>
      <c r="I30" s="734" t="e">
        <f>G30/E30</f>
        <v>#DIV/0!</v>
      </c>
      <c r="J30" s="735"/>
      <c r="K30" s="735"/>
      <c r="L30" s="735"/>
      <c r="M30" s="735"/>
      <c r="N30" s="735"/>
      <c r="O30" s="1035"/>
      <c r="P30" s="734" t="e">
        <f>N30/L30</f>
        <v>#DIV/0!</v>
      </c>
      <c r="Q30" s="735"/>
      <c r="R30" s="735"/>
      <c r="S30" s="735"/>
      <c r="T30" s="735"/>
      <c r="U30" s="735">
        <f>G30-N30</f>
        <v>0</v>
      </c>
      <c r="V30" s="1035"/>
      <c r="W30" s="734" t="e">
        <f>U30/S30</f>
        <v>#DIV/0!</v>
      </c>
      <c r="X30" s="743"/>
    </row>
    <row r="31" spans="1:24" s="744" customFormat="1" ht="27.75" customHeight="1" hidden="1">
      <c r="A31" s="751" t="s">
        <v>437</v>
      </c>
      <c r="B31" s="752" t="s">
        <v>216</v>
      </c>
      <c r="C31" s="735"/>
      <c r="D31" s="735"/>
      <c r="E31" s="735"/>
      <c r="F31" s="735"/>
      <c r="G31" s="735"/>
      <c r="H31" s="735"/>
      <c r="I31" s="734">
        <v>0</v>
      </c>
      <c r="J31" s="735"/>
      <c r="K31" s="735"/>
      <c r="L31" s="735"/>
      <c r="M31" s="735"/>
      <c r="N31" s="735"/>
      <c r="O31" s="1035"/>
      <c r="P31" s="734">
        <v>0</v>
      </c>
      <c r="Q31" s="735"/>
      <c r="R31" s="735"/>
      <c r="S31" s="735"/>
      <c r="T31" s="735"/>
      <c r="U31" s="735">
        <f>G31-N31</f>
        <v>0</v>
      </c>
      <c r="V31" s="1035"/>
      <c r="W31" s="734">
        <v>0</v>
      </c>
      <c r="X31" s="743"/>
    </row>
    <row r="32" spans="1:24" ht="33" customHeight="1" hidden="1" thickBot="1">
      <c r="A32" s="753" t="s">
        <v>438</v>
      </c>
      <c r="B32" s="754" t="s">
        <v>216</v>
      </c>
      <c r="C32" s="755"/>
      <c r="D32" s="755"/>
      <c r="E32" s="755"/>
      <c r="F32" s="755"/>
      <c r="G32" s="755"/>
      <c r="H32" s="755"/>
      <c r="I32" s="734">
        <v>0</v>
      </c>
      <c r="J32" s="755"/>
      <c r="K32" s="755"/>
      <c r="L32" s="755"/>
      <c r="M32" s="755"/>
      <c r="N32" s="755"/>
      <c r="O32" s="1036"/>
      <c r="P32" s="734">
        <v>0</v>
      </c>
      <c r="Q32" s="755"/>
      <c r="R32" s="755"/>
      <c r="S32" s="755"/>
      <c r="T32" s="755"/>
      <c r="U32" s="755">
        <f>G32-N32</f>
        <v>0</v>
      </c>
      <c r="V32" s="1036"/>
      <c r="W32" s="734">
        <v>0</v>
      </c>
      <c r="X32" s="723"/>
    </row>
    <row r="33" spans="1:24" ht="33" customHeight="1" hidden="1" thickBot="1" thickTop="1">
      <c r="A33" s="756"/>
      <c r="B33" s="757"/>
      <c r="C33" s="758"/>
      <c r="D33" s="758"/>
      <c r="E33" s="758"/>
      <c r="F33" s="758"/>
      <c r="G33" s="758"/>
      <c r="H33" s="758"/>
      <c r="I33" s="734">
        <v>0</v>
      </c>
      <c r="J33" s="758"/>
      <c r="K33" s="758"/>
      <c r="L33" s="758"/>
      <c r="M33" s="758"/>
      <c r="N33" s="758"/>
      <c r="O33" s="1037"/>
      <c r="P33" s="734">
        <v>0</v>
      </c>
      <c r="Q33" s="758"/>
      <c r="R33" s="758"/>
      <c r="S33" s="758"/>
      <c r="T33" s="758"/>
      <c r="U33" s="758">
        <f>G33-N33</f>
        <v>0</v>
      </c>
      <c r="V33" s="1037"/>
      <c r="W33" s="734">
        <v>0</v>
      </c>
      <c r="X33" s="723"/>
    </row>
    <row r="34" spans="1:24" ht="33" customHeight="1" thickBot="1" thickTop="1">
      <c r="A34" s="736" t="s">
        <v>22</v>
      </c>
      <c r="B34" s="737"/>
      <c r="C34" s="738">
        <f aca="true" t="shared" si="3" ref="C34:H34">SUM(C26:C32)</f>
        <v>0</v>
      </c>
      <c r="D34" s="738">
        <f t="shared" si="3"/>
        <v>0</v>
      </c>
      <c r="E34" s="738">
        <f t="shared" si="3"/>
        <v>2500</v>
      </c>
      <c r="F34" s="738">
        <f t="shared" si="3"/>
        <v>0</v>
      </c>
      <c r="G34" s="738">
        <f t="shared" si="3"/>
        <v>0</v>
      </c>
      <c r="H34" s="738">
        <f t="shared" si="3"/>
        <v>0</v>
      </c>
      <c r="I34" s="739" t="e">
        <f>G34/D34</f>
        <v>#DIV/0!</v>
      </c>
      <c r="J34" s="738">
        <f aca="true" t="shared" si="4" ref="J34:O34">SUM(J26:J32)</f>
        <v>0</v>
      </c>
      <c r="K34" s="738">
        <f t="shared" si="4"/>
        <v>0</v>
      </c>
      <c r="L34" s="738">
        <f t="shared" si="4"/>
        <v>2250</v>
      </c>
      <c r="M34" s="738">
        <f t="shared" si="4"/>
        <v>0</v>
      </c>
      <c r="N34" s="738">
        <f t="shared" si="4"/>
        <v>0</v>
      </c>
      <c r="O34" s="738">
        <f t="shared" si="4"/>
        <v>0</v>
      </c>
      <c r="P34" s="739" t="e">
        <f>N34/K34</f>
        <v>#DIV/0!</v>
      </c>
      <c r="Q34" s="738">
        <f aca="true" t="shared" si="5" ref="Q34:V34">SUM(Q26:Q32)</f>
        <v>0</v>
      </c>
      <c r="R34" s="738">
        <f t="shared" si="5"/>
        <v>0</v>
      </c>
      <c r="S34" s="738">
        <f t="shared" si="5"/>
        <v>250</v>
      </c>
      <c r="T34" s="738">
        <f t="shared" si="5"/>
        <v>0</v>
      </c>
      <c r="U34" s="738">
        <f t="shared" si="5"/>
        <v>0</v>
      </c>
      <c r="V34" s="738">
        <f t="shared" si="5"/>
        <v>0</v>
      </c>
      <c r="W34" s="739" t="e">
        <f>U34/R34</f>
        <v>#DIV/0!</v>
      </c>
      <c r="X34" s="723"/>
    </row>
    <row r="37" ht="12.75">
      <c r="K37" s="759"/>
    </row>
    <row r="38" spans="8:11" ht="12.75">
      <c r="H38" s="31">
        <v>3010</v>
      </c>
      <c r="K38" s="759"/>
    </row>
    <row r="39" ht="12.75">
      <c r="K39" s="759"/>
    </row>
    <row r="40" ht="12.75">
      <c r="K40" s="759"/>
    </row>
  </sheetData>
  <sheetProtection/>
  <mergeCells count="15">
    <mergeCell ref="A21:Q21"/>
    <mergeCell ref="A22:A24"/>
    <mergeCell ref="B22:B24"/>
    <mergeCell ref="C22:I24"/>
    <mergeCell ref="J22:P24"/>
    <mergeCell ref="Q22:W24"/>
    <mergeCell ref="J1:Q1"/>
    <mergeCell ref="A2:Q2"/>
    <mergeCell ref="A3:Q3"/>
    <mergeCell ref="A4:Q4"/>
    <mergeCell ref="A6:A8"/>
    <mergeCell ref="B6:B8"/>
    <mergeCell ref="C6:I8"/>
    <mergeCell ref="J6:P8"/>
    <mergeCell ref="Q6:W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0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6"/>
  <sheetViews>
    <sheetView view="pageBreakPreview" zoomScale="60" zoomScaleNormal="70" workbookViewId="0" topLeftCell="A13">
      <selection activeCell="K48" sqref="K48"/>
    </sheetView>
  </sheetViews>
  <sheetFormatPr defaultColWidth="9.140625" defaultRowHeight="12.75"/>
  <cols>
    <col min="1" max="1" width="53.00390625" style="328" customWidth="1"/>
    <col min="2" max="3" width="17.140625" style="16" bestFit="1" customWidth="1"/>
    <col min="4" max="4" width="16.421875" style="16" customWidth="1"/>
    <col min="5" max="7" width="11.7109375" style="16" hidden="1" customWidth="1"/>
    <col min="8" max="8" width="16.00390625" style="16" hidden="1" customWidth="1"/>
    <col min="9" max="9" width="17.140625" style="16" customWidth="1"/>
    <col min="10" max="10" width="15.57421875" style="16" bestFit="1" customWidth="1"/>
    <col min="11" max="11" width="15.7109375" style="16" customWidth="1"/>
    <col min="12" max="14" width="11.7109375" style="16" hidden="1" customWidth="1"/>
    <col min="15" max="15" width="13.421875" style="16" hidden="1" customWidth="1"/>
    <col min="16" max="16" width="16.7109375" style="16" customWidth="1"/>
    <col min="17" max="17" width="8.421875" style="16" customWidth="1"/>
    <col min="18" max="18" width="9.28125" style="16" customWidth="1"/>
    <col min="19" max="19" width="11.7109375" style="16" hidden="1" customWidth="1"/>
    <col min="20" max="20" width="8.57421875" style="16" hidden="1" customWidth="1"/>
    <col min="21" max="22" width="13.8515625" style="16" bestFit="1" customWidth="1"/>
    <col min="23" max="23" width="14.8515625" style="16" customWidth="1"/>
    <col min="24" max="24" width="12.140625" style="16" hidden="1" customWidth="1"/>
    <col min="25" max="26" width="11.7109375" style="16" hidden="1" customWidth="1"/>
    <col min="27" max="27" width="14.00390625" style="16" hidden="1" customWidth="1"/>
    <col min="28" max="28" width="9.140625" style="16" customWidth="1"/>
    <col min="29" max="16384" width="9.140625" style="16" customWidth="1"/>
  </cols>
  <sheetData>
    <row r="1" spans="16:21" ht="12.75" customHeight="1">
      <c r="P1" s="1275" t="s">
        <v>205</v>
      </c>
      <c r="Q1" s="1275"/>
      <c r="R1" s="1275"/>
      <c r="S1" s="1275"/>
      <c r="T1" s="1275"/>
      <c r="U1" s="1275"/>
    </row>
    <row r="2" spans="1:21" ht="19.5">
      <c r="A2" s="1276" t="s">
        <v>23</v>
      </c>
      <c r="B2" s="1276"/>
      <c r="C2" s="1276"/>
      <c r="D2" s="1276"/>
      <c r="E2" s="1276"/>
      <c r="F2" s="1276"/>
      <c r="G2" s="1276"/>
      <c r="H2" s="1276"/>
      <c r="I2" s="1276"/>
      <c r="J2" s="1276"/>
      <c r="K2" s="1276"/>
      <c r="L2" s="1276"/>
      <c r="M2" s="1276"/>
      <c r="N2" s="1276"/>
      <c r="O2" s="1276"/>
      <c r="P2" s="1276"/>
      <c r="Q2" s="1276"/>
      <c r="R2" s="1276"/>
      <c r="S2" s="1276"/>
      <c r="T2" s="1276"/>
      <c r="U2" s="1276"/>
    </row>
    <row r="3" spans="1:21" ht="15.75">
      <c r="A3" s="1277" t="s">
        <v>566</v>
      </c>
      <c r="B3" s="1277"/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  <c r="O3" s="1277"/>
      <c r="P3" s="1277"/>
      <c r="Q3" s="1277"/>
      <c r="R3" s="1277"/>
      <c r="S3" s="1277"/>
      <c r="T3" s="1277"/>
      <c r="U3" s="1277"/>
    </row>
    <row r="4" spans="1:21" ht="14.25">
      <c r="A4" s="1278" t="s">
        <v>199</v>
      </c>
      <c r="B4" s="1278"/>
      <c r="C4" s="1278"/>
      <c r="D4" s="1278"/>
      <c r="E4" s="1278"/>
      <c r="F4" s="1278"/>
      <c r="G4" s="1278"/>
      <c r="H4" s="1278"/>
      <c r="I4" s="1278"/>
      <c r="J4" s="1278"/>
      <c r="K4" s="1278"/>
      <c r="L4" s="1278"/>
      <c r="M4" s="1278"/>
      <c r="N4" s="1278"/>
      <c r="O4" s="1278"/>
      <c r="P4" s="1278"/>
      <c r="Q4" s="1278"/>
      <c r="R4" s="1278"/>
      <c r="S4" s="1278"/>
      <c r="T4" s="1278"/>
      <c r="U4" s="1278"/>
    </row>
    <row r="5" ht="13.5" thickBot="1">
      <c r="U5" s="12" t="s">
        <v>547</v>
      </c>
    </row>
    <row r="6" spans="1:28" ht="24.75" customHeight="1">
      <c r="A6" s="1279" t="s">
        <v>24</v>
      </c>
      <c r="B6" s="1281" t="s">
        <v>25</v>
      </c>
      <c r="C6" s="1282"/>
      <c r="D6" s="1282"/>
      <c r="E6" s="1282"/>
      <c r="F6" s="1282"/>
      <c r="G6" s="1282"/>
      <c r="H6" s="1282"/>
      <c r="I6" s="1282"/>
      <c r="J6" s="1282"/>
      <c r="K6" s="1282"/>
      <c r="L6" s="1282"/>
      <c r="M6" s="1282"/>
      <c r="N6" s="1282"/>
      <c r="O6" s="1282"/>
      <c r="P6" s="1283" t="s">
        <v>26</v>
      </c>
      <c r="Q6" s="1284"/>
      <c r="R6" s="1284"/>
      <c r="S6" s="1284"/>
      <c r="T6" s="1284"/>
      <c r="U6" s="1284"/>
      <c r="V6" s="1284"/>
      <c r="W6" s="1284"/>
      <c r="X6" s="1284"/>
      <c r="Y6" s="1284"/>
      <c r="Z6" s="1281"/>
      <c r="AA6" s="1285"/>
      <c r="AB6" s="599"/>
    </row>
    <row r="7" spans="1:28" ht="24.75" customHeight="1">
      <c r="A7" s="1280"/>
      <c r="B7" s="1286" t="s">
        <v>68</v>
      </c>
      <c r="C7" s="1287"/>
      <c r="D7" s="1287"/>
      <c r="E7" s="1287"/>
      <c r="F7" s="1287"/>
      <c r="G7" s="1287"/>
      <c r="H7" s="1288"/>
      <c r="I7" s="1286" t="s">
        <v>69</v>
      </c>
      <c r="J7" s="1287"/>
      <c r="K7" s="1287"/>
      <c r="L7" s="1287"/>
      <c r="M7" s="1287"/>
      <c r="N7" s="1287"/>
      <c r="O7" s="1287"/>
      <c r="P7" s="1289" t="s">
        <v>68</v>
      </c>
      <c r="Q7" s="1290"/>
      <c r="R7" s="1290"/>
      <c r="S7" s="1290"/>
      <c r="T7" s="1290"/>
      <c r="U7" s="1290" t="s">
        <v>69</v>
      </c>
      <c r="V7" s="1290"/>
      <c r="W7" s="1290"/>
      <c r="X7" s="1290"/>
      <c r="Y7" s="1290"/>
      <c r="Z7" s="1286"/>
      <c r="AA7" s="1291"/>
      <c r="AB7" s="599"/>
    </row>
    <row r="8" spans="1:28" ht="42" customHeight="1">
      <c r="A8" s="318"/>
      <c r="B8" s="319" t="s">
        <v>242</v>
      </c>
      <c r="C8" s="319" t="s">
        <v>240</v>
      </c>
      <c r="D8" s="601" t="s">
        <v>245</v>
      </c>
      <c r="E8" s="319" t="s">
        <v>248</v>
      </c>
      <c r="F8" s="319" t="s">
        <v>526</v>
      </c>
      <c r="G8" s="319" t="s">
        <v>535</v>
      </c>
      <c r="H8" s="319" t="s">
        <v>251</v>
      </c>
      <c r="I8" s="319" t="s">
        <v>242</v>
      </c>
      <c r="J8" s="949" t="s">
        <v>240</v>
      </c>
      <c r="K8" s="958" t="s">
        <v>245</v>
      </c>
      <c r="L8" s="959" t="s">
        <v>248</v>
      </c>
      <c r="M8" s="319" t="s">
        <v>526</v>
      </c>
      <c r="N8" s="319" t="s">
        <v>535</v>
      </c>
      <c r="O8" s="959" t="s">
        <v>251</v>
      </c>
      <c r="P8" s="950" t="s">
        <v>242</v>
      </c>
      <c r="Q8" s="319" t="s">
        <v>240</v>
      </c>
      <c r="R8" s="601" t="s">
        <v>245</v>
      </c>
      <c r="S8" s="319" t="s">
        <v>528</v>
      </c>
      <c r="T8" s="319" t="s">
        <v>535</v>
      </c>
      <c r="U8" s="319" t="s">
        <v>242</v>
      </c>
      <c r="V8" s="319" t="s">
        <v>240</v>
      </c>
      <c r="W8" s="601" t="s">
        <v>245</v>
      </c>
      <c r="X8" s="319" t="s">
        <v>248</v>
      </c>
      <c r="Y8" s="319" t="s">
        <v>526</v>
      </c>
      <c r="Z8" s="319" t="s">
        <v>535</v>
      </c>
      <c r="AA8" s="319" t="s">
        <v>251</v>
      </c>
      <c r="AB8" s="599"/>
    </row>
    <row r="9" spans="1:28" ht="18">
      <c r="A9" s="48" t="s">
        <v>502</v>
      </c>
      <c r="B9" s="52"/>
      <c r="C9" s="52"/>
      <c r="D9" s="52"/>
      <c r="E9" s="52"/>
      <c r="F9" s="52"/>
      <c r="G9" s="52"/>
      <c r="H9" s="52"/>
      <c r="I9" s="52">
        <v>60000</v>
      </c>
      <c r="J9" s="52">
        <v>60000</v>
      </c>
      <c r="K9" s="52">
        <v>60000</v>
      </c>
      <c r="L9" s="52"/>
      <c r="M9" s="52"/>
      <c r="N9" s="52"/>
      <c r="O9" s="871"/>
      <c r="P9" s="413"/>
      <c r="Q9" s="53"/>
      <c r="R9" s="53"/>
      <c r="S9" s="53"/>
      <c r="T9" s="53"/>
      <c r="U9" s="55"/>
      <c r="V9" s="55"/>
      <c r="W9" s="55"/>
      <c r="X9" s="55"/>
      <c r="Y9" s="55"/>
      <c r="Z9" s="412"/>
      <c r="AA9" s="83"/>
      <c r="AB9" s="599"/>
    </row>
    <row r="10" spans="1:28" ht="18">
      <c r="A10" s="48" t="s">
        <v>503</v>
      </c>
      <c r="B10" s="52"/>
      <c r="C10" s="52"/>
      <c r="D10" s="52"/>
      <c r="E10" s="52"/>
      <c r="F10" s="52"/>
      <c r="G10" s="52"/>
      <c r="H10" s="52"/>
      <c r="I10" s="52">
        <v>5000000</v>
      </c>
      <c r="J10" s="52">
        <v>5000000</v>
      </c>
      <c r="K10" s="52">
        <v>5000000</v>
      </c>
      <c r="L10" s="52"/>
      <c r="M10" s="52"/>
      <c r="N10" s="52"/>
      <c r="O10" s="871"/>
      <c r="P10" s="413"/>
      <c r="Q10" s="53"/>
      <c r="R10" s="53"/>
      <c r="S10" s="53"/>
      <c r="T10" s="53"/>
      <c r="U10" s="55">
        <v>3000000</v>
      </c>
      <c r="V10" s="55">
        <v>3000000</v>
      </c>
      <c r="W10" s="55">
        <v>3000000</v>
      </c>
      <c r="X10" s="55"/>
      <c r="Y10" s="55"/>
      <c r="Z10" s="412"/>
      <c r="AA10" s="83"/>
      <c r="AB10" s="599"/>
    </row>
    <row r="11" spans="1:28" ht="18" hidden="1">
      <c r="A11" s="48" t="s">
        <v>389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411"/>
      <c r="P11" s="413"/>
      <c r="Q11" s="53"/>
      <c r="R11" s="53"/>
      <c r="S11" s="53"/>
      <c r="T11" s="53"/>
      <c r="U11" s="55"/>
      <c r="V11" s="55"/>
      <c r="W11" s="55"/>
      <c r="X11" s="55"/>
      <c r="Y11" s="55"/>
      <c r="Z11" s="412"/>
      <c r="AA11" s="83"/>
      <c r="AB11" s="599"/>
    </row>
    <row r="12" spans="1:28" ht="18">
      <c r="A12" s="49" t="s">
        <v>226</v>
      </c>
      <c r="B12" s="52"/>
      <c r="C12" s="52"/>
      <c r="D12" s="52"/>
      <c r="E12" s="52"/>
      <c r="F12" s="52"/>
      <c r="G12" s="52"/>
      <c r="H12" s="52"/>
      <c r="I12" s="52">
        <v>165000</v>
      </c>
      <c r="J12" s="52">
        <v>165000</v>
      </c>
      <c r="K12" s="52">
        <v>165000</v>
      </c>
      <c r="L12" s="52"/>
      <c r="M12" s="52"/>
      <c r="N12" s="52"/>
      <c r="O12" s="871"/>
      <c r="P12" s="413"/>
      <c r="Q12" s="53"/>
      <c r="R12" s="53"/>
      <c r="S12" s="53"/>
      <c r="T12" s="53"/>
      <c r="U12" s="55"/>
      <c r="V12" s="55"/>
      <c r="W12" s="55"/>
      <c r="X12" s="55"/>
      <c r="Y12" s="55"/>
      <c r="Z12" s="412"/>
      <c r="AA12" s="83"/>
      <c r="AB12" s="599"/>
    </row>
    <row r="13" spans="1:28" ht="18">
      <c r="A13" s="49" t="s">
        <v>227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871"/>
      <c r="P13" s="413"/>
      <c r="Q13" s="53"/>
      <c r="R13" s="53"/>
      <c r="S13" s="53"/>
      <c r="T13" s="53"/>
      <c r="U13" s="55"/>
      <c r="V13" s="55"/>
      <c r="W13" s="55"/>
      <c r="X13" s="55"/>
      <c r="Y13" s="55"/>
      <c r="Z13" s="412"/>
      <c r="AA13" s="83"/>
      <c r="AB13" s="599"/>
    </row>
    <row r="14" spans="1:28" ht="18">
      <c r="A14" s="49" t="s">
        <v>228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871"/>
      <c r="P14" s="413"/>
      <c r="Q14" s="53"/>
      <c r="R14" s="53"/>
      <c r="S14" s="53"/>
      <c r="T14" s="53"/>
      <c r="U14" s="55">
        <v>2000000</v>
      </c>
      <c r="V14" s="55">
        <v>2000000</v>
      </c>
      <c r="W14" s="55">
        <v>2000000</v>
      </c>
      <c r="X14" s="55"/>
      <c r="Y14" s="55"/>
      <c r="Z14" s="412"/>
      <c r="AA14" s="871" t="e">
        <f>Y14/X14</f>
        <v>#DIV/0!</v>
      </c>
      <c r="AB14" s="599"/>
    </row>
    <row r="15" spans="1:28" ht="18" hidden="1">
      <c r="A15" s="49" t="s">
        <v>235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871"/>
      <c r="P15" s="413"/>
      <c r="Q15" s="53"/>
      <c r="R15" s="53"/>
      <c r="S15" s="53"/>
      <c r="T15" s="53"/>
      <c r="U15" s="55"/>
      <c r="V15" s="55"/>
      <c r="W15" s="55"/>
      <c r="X15" s="55"/>
      <c r="Y15" s="55"/>
      <c r="Z15" s="412"/>
      <c r="AA15" s="871" t="e">
        <f>Y15/X15</f>
        <v>#DIV/0!</v>
      </c>
      <c r="AB15" s="599"/>
    </row>
    <row r="16" spans="1:28" ht="17.25" customHeight="1">
      <c r="A16" s="49" t="s">
        <v>229</v>
      </c>
      <c r="B16" s="52"/>
      <c r="C16" s="52"/>
      <c r="D16" s="52"/>
      <c r="E16" s="52"/>
      <c r="F16" s="52"/>
      <c r="G16" s="52"/>
      <c r="H16" s="52"/>
      <c r="I16" s="52">
        <f>4100530+192795</f>
        <v>4293325</v>
      </c>
      <c r="J16" s="52">
        <f>4100530+192795</f>
        <v>4293325</v>
      </c>
      <c r="K16" s="52">
        <f>4100530+192795</f>
        <v>4293325</v>
      </c>
      <c r="L16" s="52"/>
      <c r="M16" s="52"/>
      <c r="N16" s="52"/>
      <c r="O16" s="871"/>
      <c r="P16" s="414"/>
      <c r="Q16" s="55"/>
      <c r="R16" s="55"/>
      <c r="S16" s="55"/>
      <c r="T16" s="55"/>
      <c r="U16" s="55"/>
      <c r="V16" s="55"/>
      <c r="W16" s="55"/>
      <c r="X16" s="55"/>
      <c r="Y16" s="55"/>
      <c r="Z16" s="412"/>
      <c r="AA16" s="871" t="e">
        <f>Y16/X16</f>
        <v>#DIV/0!</v>
      </c>
      <c r="AB16" s="599"/>
    </row>
    <row r="17" spans="1:28" ht="17.25" customHeight="1">
      <c r="A17" s="681" t="s">
        <v>390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411"/>
      <c r="P17" s="414"/>
      <c r="Q17" s="55"/>
      <c r="R17" s="55"/>
      <c r="S17" s="55"/>
      <c r="T17" s="55"/>
      <c r="U17" s="55"/>
      <c r="V17" s="55"/>
      <c r="W17" s="55"/>
      <c r="X17" s="55"/>
      <c r="Y17" s="55"/>
      <c r="Z17" s="412"/>
      <c r="AA17" s="83"/>
      <c r="AB17" s="599"/>
    </row>
    <row r="18" spans="1:28" ht="17.25" customHeight="1">
      <c r="A18" s="681" t="s">
        <v>391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871"/>
      <c r="P18" s="414"/>
      <c r="Q18" s="55"/>
      <c r="R18" s="55"/>
      <c r="S18" s="55"/>
      <c r="T18" s="55"/>
      <c r="U18" s="55"/>
      <c r="V18" s="55"/>
      <c r="W18" s="55"/>
      <c r="X18" s="55"/>
      <c r="Y18" s="55"/>
      <c r="Z18" s="412"/>
      <c r="AA18" s="83"/>
      <c r="AB18" s="960"/>
    </row>
    <row r="19" spans="1:28" ht="17.25" customHeight="1">
      <c r="A19" s="681" t="s">
        <v>392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871"/>
      <c r="P19" s="414"/>
      <c r="Q19" s="55"/>
      <c r="R19" s="55"/>
      <c r="S19" s="55"/>
      <c r="T19" s="55"/>
      <c r="U19" s="55"/>
      <c r="V19" s="55"/>
      <c r="W19" s="55"/>
      <c r="X19" s="55"/>
      <c r="Y19" s="55"/>
      <c r="Z19" s="412"/>
      <c r="AA19" s="83"/>
      <c r="AB19" s="599"/>
    </row>
    <row r="20" spans="1:28" ht="17.25" customHeight="1">
      <c r="A20" s="681" t="s">
        <v>393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871"/>
      <c r="P20" s="414"/>
      <c r="Q20" s="55"/>
      <c r="R20" s="55"/>
      <c r="S20" s="55"/>
      <c r="T20" s="55"/>
      <c r="U20" s="55"/>
      <c r="V20" s="55"/>
      <c r="W20" s="55"/>
      <c r="X20" s="55"/>
      <c r="Y20" s="55"/>
      <c r="Z20" s="412"/>
      <c r="AA20" s="83"/>
      <c r="AB20" s="599"/>
    </row>
    <row r="21" spans="1:28" ht="17.25" customHeight="1">
      <c r="A21" s="681" t="s">
        <v>395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871"/>
      <c r="P21" s="414"/>
      <c r="Q21" s="55"/>
      <c r="R21" s="55"/>
      <c r="S21" s="55"/>
      <c r="T21" s="55"/>
      <c r="U21" s="55"/>
      <c r="V21" s="55"/>
      <c r="W21" s="55"/>
      <c r="X21" s="55"/>
      <c r="Y21" s="55"/>
      <c r="Z21" s="412"/>
      <c r="AA21" s="83"/>
      <c r="AB21" s="599"/>
    </row>
    <row r="22" spans="1:28" ht="17.25" customHeight="1">
      <c r="A22" s="681" t="s">
        <v>517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871"/>
      <c r="P22" s="414"/>
      <c r="Q22" s="55"/>
      <c r="R22" s="55"/>
      <c r="S22" s="55"/>
      <c r="T22" s="55"/>
      <c r="U22" s="55"/>
      <c r="V22" s="55"/>
      <c r="W22" s="55"/>
      <c r="X22" s="55"/>
      <c r="Y22" s="55"/>
      <c r="Z22" s="412"/>
      <c r="AA22" s="83"/>
      <c r="AB22" s="599"/>
    </row>
    <row r="23" spans="1:28" ht="17.25" customHeight="1">
      <c r="A23" s="681" t="s">
        <v>404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871"/>
      <c r="P23" s="414"/>
      <c r="Q23" s="55"/>
      <c r="R23" s="55"/>
      <c r="S23" s="55"/>
      <c r="T23" s="55"/>
      <c r="U23" s="55"/>
      <c r="V23" s="55"/>
      <c r="W23" s="55"/>
      <c r="X23" s="55"/>
      <c r="Y23" s="55"/>
      <c r="Z23" s="412"/>
      <c r="AA23" s="83"/>
      <c r="AB23" s="599"/>
    </row>
    <row r="24" spans="1:28" ht="17.25" customHeight="1" hidden="1">
      <c r="A24" s="681" t="s">
        <v>396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871"/>
      <c r="P24" s="414"/>
      <c r="Q24" s="55"/>
      <c r="R24" s="55"/>
      <c r="S24" s="55"/>
      <c r="T24" s="55"/>
      <c r="U24" s="55"/>
      <c r="V24" s="55"/>
      <c r="W24" s="55"/>
      <c r="X24" s="55"/>
      <c r="Y24" s="55"/>
      <c r="Z24" s="412"/>
      <c r="AA24" s="83"/>
      <c r="AB24" s="599"/>
    </row>
    <row r="25" spans="1:28" ht="17.25" customHeight="1" hidden="1">
      <c r="A25" s="681" t="s">
        <v>397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871"/>
      <c r="P25" s="414"/>
      <c r="Q25" s="55"/>
      <c r="R25" s="55"/>
      <c r="S25" s="55"/>
      <c r="T25" s="55"/>
      <c r="U25" s="55"/>
      <c r="V25" s="55"/>
      <c r="W25" s="55"/>
      <c r="X25" s="55"/>
      <c r="Y25" s="55"/>
      <c r="Z25" s="412"/>
      <c r="AA25" s="83"/>
      <c r="AB25" s="599"/>
    </row>
    <row r="26" spans="1:28" ht="17.25" customHeight="1">
      <c r="A26" s="681" t="s">
        <v>512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871"/>
      <c r="P26" s="414"/>
      <c r="Q26" s="55"/>
      <c r="R26" s="55"/>
      <c r="S26" s="55"/>
      <c r="T26" s="55"/>
      <c r="U26" s="55"/>
      <c r="V26" s="55"/>
      <c r="W26" s="55"/>
      <c r="X26" s="55"/>
      <c r="Y26" s="55"/>
      <c r="Z26" s="412"/>
      <c r="AA26" s="83"/>
      <c r="AB26" s="599"/>
    </row>
    <row r="27" spans="1:28" ht="17.25" customHeight="1">
      <c r="A27" s="681" t="s">
        <v>398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871"/>
      <c r="P27" s="414"/>
      <c r="Q27" s="55"/>
      <c r="R27" s="55"/>
      <c r="S27" s="55"/>
      <c r="T27" s="55"/>
      <c r="U27" s="55"/>
      <c r="V27" s="55"/>
      <c r="W27" s="55"/>
      <c r="X27" s="55"/>
      <c r="Y27" s="55"/>
      <c r="Z27" s="412"/>
      <c r="AA27" s="83"/>
      <c r="AB27" s="599"/>
    </row>
    <row r="28" spans="1:28" ht="17.25" customHeight="1" hidden="1">
      <c r="A28" s="681" t="s">
        <v>399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871"/>
      <c r="P28" s="414"/>
      <c r="Q28" s="55"/>
      <c r="R28" s="55"/>
      <c r="S28" s="55"/>
      <c r="T28" s="55"/>
      <c r="U28" s="55"/>
      <c r="V28" s="55"/>
      <c r="W28" s="55"/>
      <c r="X28" s="55"/>
      <c r="Y28" s="55"/>
      <c r="Z28" s="412"/>
      <c r="AA28" s="83"/>
      <c r="AB28" s="599"/>
    </row>
    <row r="29" spans="1:28" ht="17.25" customHeight="1">
      <c r="A29" s="681" t="s">
        <v>400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871"/>
      <c r="P29" s="414"/>
      <c r="Q29" s="55"/>
      <c r="R29" s="55"/>
      <c r="S29" s="55"/>
      <c r="T29" s="55"/>
      <c r="U29" s="55"/>
      <c r="V29" s="55"/>
      <c r="W29" s="55"/>
      <c r="X29" s="55"/>
      <c r="Y29" s="55"/>
      <c r="Z29" s="412"/>
      <c r="AA29" s="83"/>
      <c r="AB29" s="599"/>
    </row>
    <row r="30" spans="1:28" ht="17.25" customHeight="1" hidden="1">
      <c r="A30" s="681" t="s">
        <v>401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871"/>
      <c r="P30" s="414"/>
      <c r="Q30" s="55"/>
      <c r="R30" s="55"/>
      <c r="S30" s="55"/>
      <c r="T30" s="55"/>
      <c r="U30" s="55"/>
      <c r="V30" s="55"/>
      <c r="W30" s="55"/>
      <c r="X30" s="55"/>
      <c r="Y30" s="55"/>
      <c r="Z30" s="412"/>
      <c r="AA30" s="83"/>
      <c r="AB30" s="599"/>
    </row>
    <row r="31" spans="1:28" ht="17.25" customHeight="1" hidden="1">
      <c r="A31" s="681" t="s">
        <v>402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871"/>
      <c r="P31" s="414"/>
      <c r="Q31" s="55"/>
      <c r="R31" s="55"/>
      <c r="S31" s="55"/>
      <c r="T31" s="55"/>
      <c r="U31" s="55"/>
      <c r="V31" s="55"/>
      <c r="W31" s="55"/>
      <c r="X31" s="55"/>
      <c r="Y31" s="55"/>
      <c r="Z31" s="412"/>
      <c r="AA31" s="83"/>
      <c r="AB31" s="599"/>
    </row>
    <row r="32" spans="1:28" ht="17.25" customHeight="1">
      <c r="A32" s="681" t="s">
        <v>403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871"/>
      <c r="P32" s="414"/>
      <c r="Q32" s="55"/>
      <c r="R32" s="55"/>
      <c r="S32" s="55"/>
      <c r="T32" s="55"/>
      <c r="U32" s="55"/>
      <c r="V32" s="55"/>
      <c r="W32" s="55"/>
      <c r="X32" s="55"/>
      <c r="Y32" s="55"/>
      <c r="Z32" s="412"/>
      <c r="AA32" s="83"/>
      <c r="AB32" s="599"/>
    </row>
    <row r="33" spans="1:28" ht="17.25" customHeight="1" hidden="1">
      <c r="A33" s="681" t="s">
        <v>405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871"/>
      <c r="P33" s="414"/>
      <c r="Q33" s="55"/>
      <c r="R33" s="55"/>
      <c r="S33" s="55"/>
      <c r="T33" s="55"/>
      <c r="U33" s="55"/>
      <c r="V33" s="55"/>
      <c r="W33" s="55"/>
      <c r="X33" s="55"/>
      <c r="Y33" s="55"/>
      <c r="Z33" s="412"/>
      <c r="AA33" s="83"/>
      <c r="AB33" s="599"/>
    </row>
    <row r="34" spans="1:28" ht="17.25" customHeight="1" hidden="1">
      <c r="A34" s="681" t="s">
        <v>406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871"/>
      <c r="P34" s="414"/>
      <c r="Q34" s="55"/>
      <c r="R34" s="55"/>
      <c r="S34" s="55"/>
      <c r="T34" s="55"/>
      <c r="U34" s="55"/>
      <c r="V34" s="55"/>
      <c r="W34" s="55"/>
      <c r="X34" s="55"/>
      <c r="Y34" s="55"/>
      <c r="Z34" s="412"/>
      <c r="AA34" s="83"/>
      <c r="AB34" s="599"/>
    </row>
    <row r="35" spans="1:28" ht="17.25" customHeight="1" hidden="1">
      <c r="A35" s="681" t="s">
        <v>407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871"/>
      <c r="P35" s="414"/>
      <c r="Q35" s="55"/>
      <c r="R35" s="55"/>
      <c r="S35" s="55"/>
      <c r="T35" s="55"/>
      <c r="U35" s="55"/>
      <c r="V35" s="55"/>
      <c r="W35" s="55"/>
      <c r="X35" s="55"/>
      <c r="Y35" s="55"/>
      <c r="Z35" s="412"/>
      <c r="AA35" s="83"/>
      <c r="AB35" s="599"/>
    </row>
    <row r="36" spans="1:28" ht="17.25" customHeight="1">
      <c r="A36" s="681" t="s">
        <v>537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871"/>
      <c r="P36" s="414"/>
      <c r="Q36" s="55"/>
      <c r="R36" s="55"/>
      <c r="S36" s="55"/>
      <c r="T36" s="55"/>
      <c r="U36" s="55"/>
      <c r="V36" s="55"/>
      <c r="W36" s="55"/>
      <c r="X36" s="55"/>
      <c r="Y36" s="55"/>
      <c r="Z36" s="412"/>
      <c r="AA36" s="83"/>
      <c r="AB36" s="599"/>
    </row>
    <row r="37" spans="1:28" ht="17.25" customHeight="1">
      <c r="A37" s="681" t="s">
        <v>539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871"/>
      <c r="P37" s="414"/>
      <c r="Q37" s="55"/>
      <c r="R37" s="55"/>
      <c r="S37" s="55"/>
      <c r="T37" s="55"/>
      <c r="U37" s="55"/>
      <c r="V37" s="55"/>
      <c r="W37" s="55"/>
      <c r="X37" s="55"/>
      <c r="Y37" s="55"/>
      <c r="Z37" s="412"/>
      <c r="AA37" s="83"/>
      <c r="AB37" s="599"/>
    </row>
    <row r="38" spans="1:28" ht="17.25" customHeight="1">
      <c r="A38" s="681" t="s">
        <v>516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871"/>
      <c r="P38" s="414"/>
      <c r="Q38" s="55"/>
      <c r="R38" s="55"/>
      <c r="S38" s="55"/>
      <c r="T38" s="55"/>
      <c r="U38" s="55"/>
      <c r="V38" s="55"/>
      <c r="W38" s="55"/>
      <c r="X38" s="55"/>
      <c r="Y38" s="55"/>
      <c r="Z38" s="412"/>
      <c r="AA38" s="83"/>
      <c r="AB38" s="599"/>
    </row>
    <row r="39" spans="1:28" ht="17.25" customHeight="1">
      <c r="A39" s="49" t="s">
        <v>513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871"/>
      <c r="P39" s="414"/>
      <c r="Q39" s="55"/>
      <c r="R39" s="55"/>
      <c r="S39" s="55"/>
      <c r="T39" s="55"/>
      <c r="U39" s="55"/>
      <c r="V39" s="55"/>
      <c r="W39" s="55"/>
      <c r="X39" s="55"/>
      <c r="Y39" s="55"/>
      <c r="Z39" s="412"/>
      <c r="AA39" s="83"/>
      <c r="AB39" s="599"/>
    </row>
    <row r="40" spans="1:28" ht="17.25" customHeight="1">
      <c r="A40" s="681" t="s">
        <v>390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871"/>
      <c r="P40" s="414"/>
      <c r="Q40" s="55"/>
      <c r="R40" s="55"/>
      <c r="S40" s="55"/>
      <c r="T40" s="55"/>
      <c r="U40" s="55"/>
      <c r="V40" s="55"/>
      <c r="W40" s="55"/>
      <c r="X40" s="55"/>
      <c r="Y40" s="55"/>
      <c r="Z40" s="412"/>
      <c r="AA40" s="83"/>
      <c r="AB40" s="960"/>
    </row>
    <row r="41" spans="1:28" ht="17.25" customHeight="1">
      <c r="A41" s="681" t="s">
        <v>399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871"/>
      <c r="P41" s="414"/>
      <c r="Q41" s="55"/>
      <c r="R41" s="55"/>
      <c r="S41" s="55"/>
      <c r="T41" s="55"/>
      <c r="U41" s="55"/>
      <c r="V41" s="55"/>
      <c r="W41" s="55"/>
      <c r="X41" s="55"/>
      <c r="Y41" s="55"/>
      <c r="Z41" s="412"/>
      <c r="AA41" s="83"/>
      <c r="AB41" s="599"/>
    </row>
    <row r="42" spans="1:28" ht="17.25" customHeight="1">
      <c r="A42" s="681" t="s">
        <v>401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871"/>
      <c r="P42" s="414"/>
      <c r="Q42" s="55"/>
      <c r="R42" s="55"/>
      <c r="S42" s="55"/>
      <c r="T42" s="55"/>
      <c r="U42" s="55"/>
      <c r="V42" s="55"/>
      <c r="W42" s="55"/>
      <c r="X42" s="55"/>
      <c r="Y42" s="55"/>
      <c r="Z42" s="412"/>
      <c r="AA42" s="83"/>
      <c r="AB42" s="599"/>
    </row>
    <row r="43" spans="1:28" ht="17.25" customHeight="1">
      <c r="A43" s="681" t="s">
        <v>514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871"/>
      <c r="P43" s="414"/>
      <c r="Q43" s="55"/>
      <c r="R43" s="55"/>
      <c r="S43" s="55"/>
      <c r="T43" s="55"/>
      <c r="U43" s="55"/>
      <c r="V43" s="55"/>
      <c r="W43" s="55"/>
      <c r="X43" s="55"/>
      <c r="Y43" s="55"/>
      <c r="Z43" s="412"/>
      <c r="AA43" s="83"/>
      <c r="AB43" s="599"/>
    </row>
    <row r="44" spans="1:28" ht="17.25" customHeight="1">
      <c r="A44" s="681" t="s">
        <v>515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871"/>
      <c r="P44" s="414"/>
      <c r="Q44" s="55"/>
      <c r="R44" s="55"/>
      <c r="S44" s="55"/>
      <c r="T44" s="55"/>
      <c r="U44" s="55"/>
      <c r="V44" s="55"/>
      <c r="W44" s="55"/>
      <c r="X44" s="55"/>
      <c r="Y44" s="55"/>
      <c r="Z44" s="412"/>
      <c r="AA44" s="83"/>
      <c r="AB44" s="599"/>
    </row>
    <row r="45" spans="1:28" ht="17.25" customHeight="1">
      <c r="A45" s="49" t="s">
        <v>510</v>
      </c>
      <c r="B45" s="52"/>
      <c r="C45" s="52"/>
      <c r="D45" s="52"/>
      <c r="E45" s="52"/>
      <c r="F45" s="52"/>
      <c r="G45" s="52"/>
      <c r="H45" s="52"/>
      <c r="I45" s="52">
        <v>200000</v>
      </c>
      <c r="J45" s="52">
        <v>200000</v>
      </c>
      <c r="K45" s="52">
        <v>200000</v>
      </c>
      <c r="L45" s="52"/>
      <c r="M45" s="52"/>
      <c r="N45" s="52"/>
      <c r="O45" s="871"/>
      <c r="P45" s="414"/>
      <c r="Q45" s="55"/>
      <c r="R45" s="55"/>
      <c r="S45" s="55"/>
      <c r="T45" s="55"/>
      <c r="U45" s="55"/>
      <c r="V45" s="55"/>
      <c r="W45" s="55"/>
      <c r="X45" s="55"/>
      <c r="Y45" s="55"/>
      <c r="Z45" s="412"/>
      <c r="AA45" s="83"/>
      <c r="AB45" s="599"/>
    </row>
    <row r="46" spans="1:28" ht="17.25" customHeight="1">
      <c r="A46" s="49" t="s">
        <v>392</v>
      </c>
      <c r="B46" s="52"/>
      <c r="C46" s="52"/>
      <c r="D46" s="52"/>
      <c r="E46" s="52"/>
      <c r="F46" s="52"/>
      <c r="G46" s="52"/>
      <c r="H46" s="52"/>
      <c r="I46" s="52">
        <v>300000</v>
      </c>
      <c r="J46" s="52">
        <v>300000</v>
      </c>
      <c r="K46" s="52">
        <v>300000</v>
      </c>
      <c r="L46" s="52"/>
      <c r="M46" s="52"/>
      <c r="N46" s="52"/>
      <c r="O46" s="871"/>
      <c r="P46" s="414"/>
      <c r="Q46" s="55"/>
      <c r="R46" s="55"/>
      <c r="S46" s="55"/>
      <c r="T46" s="55"/>
      <c r="U46" s="55"/>
      <c r="V46" s="55"/>
      <c r="W46" s="55"/>
      <c r="X46" s="55"/>
      <c r="Y46" s="55"/>
      <c r="Z46" s="412"/>
      <c r="AA46" s="83"/>
      <c r="AB46" s="599"/>
    </row>
    <row r="47" spans="1:28" ht="17.25" customHeight="1">
      <c r="A47" s="49" t="s">
        <v>515</v>
      </c>
      <c r="B47" s="52"/>
      <c r="C47" s="52"/>
      <c r="D47" s="52"/>
      <c r="E47" s="52"/>
      <c r="F47" s="52"/>
      <c r="G47" s="52"/>
      <c r="H47" s="52"/>
      <c r="I47" s="52"/>
      <c r="J47" s="52"/>
      <c r="K47" s="52">
        <v>10000</v>
      </c>
      <c r="L47" s="52"/>
      <c r="M47" s="52"/>
      <c r="N47" s="52"/>
      <c r="O47" s="871"/>
      <c r="P47" s="414"/>
      <c r="Q47" s="55"/>
      <c r="R47" s="55"/>
      <c r="S47" s="55"/>
      <c r="T47" s="55"/>
      <c r="U47" s="55"/>
      <c r="V47" s="55"/>
      <c r="W47" s="55"/>
      <c r="X47" s="55"/>
      <c r="Y47" s="55"/>
      <c r="Z47" s="412"/>
      <c r="AA47" s="83"/>
      <c r="AB47" s="599"/>
    </row>
    <row r="48" spans="1:28" ht="17.25" customHeight="1">
      <c r="A48" s="49" t="s">
        <v>538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411"/>
      <c r="P48" s="414"/>
      <c r="Q48" s="55"/>
      <c r="R48" s="55"/>
      <c r="S48" s="55"/>
      <c r="T48" s="55"/>
      <c r="U48" s="55"/>
      <c r="V48" s="55"/>
      <c r="W48" s="55"/>
      <c r="X48" s="55"/>
      <c r="Y48" s="55"/>
      <c r="Z48" s="412"/>
      <c r="AA48" s="83"/>
      <c r="AB48" s="599"/>
    </row>
    <row r="49" spans="1:28" ht="17.25" customHeight="1" hidden="1">
      <c r="A49" s="49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411"/>
      <c r="P49" s="414"/>
      <c r="Q49" s="55"/>
      <c r="R49" s="55"/>
      <c r="S49" s="55"/>
      <c r="T49" s="55"/>
      <c r="U49" s="55"/>
      <c r="V49" s="55"/>
      <c r="W49" s="55"/>
      <c r="X49" s="55"/>
      <c r="Y49" s="55"/>
      <c r="Z49" s="412"/>
      <c r="AA49" s="83"/>
      <c r="AB49" s="599"/>
    </row>
    <row r="50" spans="1:28" ht="17.25" customHeight="1" hidden="1">
      <c r="A50" s="49" t="s">
        <v>408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871"/>
      <c r="P50" s="414"/>
      <c r="Q50" s="55"/>
      <c r="R50" s="55"/>
      <c r="S50" s="55"/>
      <c r="T50" s="55"/>
      <c r="U50" s="55"/>
      <c r="V50" s="55"/>
      <c r="W50" s="55"/>
      <c r="X50" s="55"/>
      <c r="Y50" s="55"/>
      <c r="Z50" s="412"/>
      <c r="AA50" s="83"/>
      <c r="AB50" s="599"/>
    </row>
    <row r="51" spans="1:28" ht="17.25" customHeight="1" hidden="1">
      <c r="A51" s="49" t="s">
        <v>394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871"/>
      <c r="P51" s="414"/>
      <c r="Q51" s="55"/>
      <c r="R51" s="55"/>
      <c r="S51" s="55"/>
      <c r="T51" s="55"/>
      <c r="U51" s="55"/>
      <c r="V51" s="55"/>
      <c r="W51" s="55"/>
      <c r="X51" s="55"/>
      <c r="Y51" s="55"/>
      <c r="Z51" s="412"/>
      <c r="AA51" s="83"/>
      <c r="AB51" s="599"/>
    </row>
    <row r="52" spans="1:28" s="19" customFormat="1" ht="18" hidden="1">
      <c r="A52" s="49" t="s">
        <v>230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871"/>
      <c r="P52" s="415"/>
      <c r="Q52" s="52"/>
      <c r="R52" s="52"/>
      <c r="S52" s="52"/>
      <c r="T52" s="52"/>
      <c r="U52" s="52"/>
      <c r="V52" s="52"/>
      <c r="W52" s="52"/>
      <c r="X52" s="52"/>
      <c r="Y52" s="52"/>
      <c r="Z52" s="411"/>
      <c r="AA52" s="83"/>
      <c r="AB52" s="600"/>
    </row>
    <row r="53" spans="1:28" ht="18" hidden="1">
      <c r="A53" s="48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871"/>
      <c r="P53" s="415"/>
      <c r="Q53" s="52"/>
      <c r="R53" s="52"/>
      <c r="S53" s="52"/>
      <c r="T53" s="52"/>
      <c r="U53" s="55"/>
      <c r="V53" s="55"/>
      <c r="W53" s="55"/>
      <c r="X53" s="55"/>
      <c r="Y53" s="55"/>
      <c r="Z53" s="412"/>
      <c r="AA53" s="54"/>
      <c r="AB53" s="599"/>
    </row>
    <row r="54" spans="1:28" ht="18">
      <c r="A54" s="48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871"/>
      <c r="P54" s="415"/>
      <c r="Q54" s="52"/>
      <c r="R54" s="52"/>
      <c r="S54" s="52"/>
      <c r="T54" s="52"/>
      <c r="U54" s="55"/>
      <c r="V54" s="55"/>
      <c r="W54" s="55"/>
      <c r="X54" s="55"/>
      <c r="Y54" s="55"/>
      <c r="Z54" s="412"/>
      <c r="AA54" s="54"/>
      <c r="AB54" s="599"/>
    </row>
    <row r="55" spans="1:28" ht="23.25" customHeight="1" thickBot="1">
      <c r="A55" s="50" t="s">
        <v>1</v>
      </c>
      <c r="B55" s="56">
        <f aca="true" t="shared" si="0" ref="B55:K55">SUM(B9:B54)</f>
        <v>0</v>
      </c>
      <c r="C55" s="56">
        <f t="shared" si="0"/>
        <v>0</v>
      </c>
      <c r="D55" s="56">
        <f t="shared" si="0"/>
        <v>0</v>
      </c>
      <c r="E55" s="56">
        <f t="shared" si="0"/>
        <v>0</v>
      </c>
      <c r="F55" s="56">
        <f t="shared" si="0"/>
        <v>0</v>
      </c>
      <c r="G55" s="56">
        <f t="shared" si="0"/>
        <v>0</v>
      </c>
      <c r="H55" s="56">
        <f t="shared" si="0"/>
        <v>0</v>
      </c>
      <c r="I55" s="56">
        <f t="shared" si="0"/>
        <v>10018325</v>
      </c>
      <c r="J55" s="56">
        <f t="shared" si="0"/>
        <v>10018325</v>
      </c>
      <c r="K55" s="56">
        <f t="shared" si="0"/>
        <v>10028325</v>
      </c>
      <c r="L55" s="56">
        <f>SUM(L9:L16,L39,L45:L46)</f>
        <v>0</v>
      </c>
      <c r="M55" s="56">
        <f>SUM(M9:M16,M39,M45:M46)</f>
        <v>0</v>
      </c>
      <c r="N55" s="56">
        <f>SUM(N9:N16,N39,N45:N48)</f>
        <v>0</v>
      </c>
      <c r="O55" s="876" t="e">
        <f>M55/L55</f>
        <v>#DIV/0!</v>
      </c>
      <c r="P55" s="873">
        <f aca="true" t="shared" si="1" ref="P55:AA55">SUM(P9:P54)</f>
        <v>0</v>
      </c>
      <c r="Q55" s="56">
        <f t="shared" si="1"/>
        <v>0</v>
      </c>
      <c r="R55" s="56">
        <f t="shared" si="1"/>
        <v>0</v>
      </c>
      <c r="S55" s="56">
        <f t="shared" si="1"/>
        <v>0</v>
      </c>
      <c r="T55" s="56">
        <f t="shared" si="1"/>
        <v>0</v>
      </c>
      <c r="U55" s="56">
        <f t="shared" si="1"/>
        <v>5000000</v>
      </c>
      <c r="V55" s="56">
        <f t="shared" si="1"/>
        <v>5000000</v>
      </c>
      <c r="W55" s="56">
        <f t="shared" si="1"/>
        <v>5000000</v>
      </c>
      <c r="X55" s="56">
        <f t="shared" si="1"/>
        <v>0</v>
      </c>
      <c r="Y55" s="56">
        <f t="shared" si="1"/>
        <v>0</v>
      </c>
      <c r="Z55" s="56">
        <f t="shared" si="1"/>
        <v>0</v>
      </c>
      <c r="AA55" s="56" t="e">
        <f t="shared" si="1"/>
        <v>#DIV/0!</v>
      </c>
      <c r="AB55" s="872"/>
    </row>
    <row r="56" spans="1:27" ht="15">
      <c r="A56" s="47"/>
      <c r="B56" s="14"/>
      <c r="C56" s="14"/>
      <c r="D56" s="14"/>
      <c r="E56" s="14"/>
      <c r="F56" s="14"/>
      <c r="G56" s="14"/>
      <c r="H56" s="14"/>
      <c r="I56" s="303"/>
      <c r="J56" s="303"/>
      <c r="K56" s="303"/>
      <c r="L56" s="303"/>
      <c r="M56" s="303"/>
      <c r="N56" s="303"/>
      <c r="O56" s="303"/>
      <c r="P56" s="303"/>
      <c r="Q56" s="14"/>
      <c r="R56" s="14"/>
      <c r="S56" s="14"/>
      <c r="T56" s="14"/>
      <c r="U56" s="303"/>
      <c r="Y56" s="409"/>
      <c r="Z56" s="409"/>
      <c r="AA56" s="409"/>
    </row>
    <row r="57" spans="1:21" ht="14.25">
      <c r="A57" s="1292" t="s">
        <v>233</v>
      </c>
      <c r="B57" s="1292"/>
      <c r="C57" s="1292"/>
      <c r="D57" s="1292"/>
      <c r="E57" s="1292"/>
      <c r="F57" s="1292"/>
      <c r="G57" s="1292"/>
      <c r="H57" s="1292"/>
      <c r="I57" s="1292"/>
      <c r="J57" s="1292"/>
      <c r="K57" s="1292"/>
      <c r="L57" s="1292"/>
      <c r="M57" s="1292"/>
      <c r="N57" s="1292"/>
      <c r="O57" s="1292"/>
      <c r="P57" s="1292"/>
      <c r="Q57" s="1292"/>
      <c r="R57" s="1292"/>
      <c r="S57" s="1292"/>
      <c r="T57" s="1292"/>
      <c r="U57" s="1292"/>
    </row>
    <row r="58" ht="13.5" thickBot="1">
      <c r="U58" s="12"/>
    </row>
    <row r="59" spans="1:28" ht="29.25" customHeight="1">
      <c r="A59" s="1279" t="s">
        <v>232</v>
      </c>
      <c r="B59" s="1281" t="s">
        <v>25</v>
      </c>
      <c r="C59" s="1282"/>
      <c r="D59" s="1282"/>
      <c r="E59" s="1282"/>
      <c r="F59" s="1282"/>
      <c r="G59" s="1282"/>
      <c r="H59" s="1282"/>
      <c r="I59" s="1282"/>
      <c r="J59" s="1282"/>
      <c r="K59" s="1282"/>
      <c r="L59" s="1282"/>
      <c r="M59" s="1282"/>
      <c r="N59" s="1282"/>
      <c r="O59" s="1282"/>
      <c r="P59" s="1283" t="s">
        <v>26</v>
      </c>
      <c r="Q59" s="1284"/>
      <c r="R59" s="1284"/>
      <c r="S59" s="1284"/>
      <c r="T59" s="1284"/>
      <c r="U59" s="1284"/>
      <c r="V59" s="1284"/>
      <c r="W59" s="1284"/>
      <c r="X59" s="1284"/>
      <c r="Y59" s="1284"/>
      <c r="Z59" s="1281"/>
      <c r="AA59" s="1285"/>
      <c r="AB59" s="599"/>
    </row>
    <row r="60" spans="1:28" ht="29.25" customHeight="1">
      <c r="A60" s="1280"/>
      <c r="B60" s="1286" t="s">
        <v>68</v>
      </c>
      <c r="C60" s="1287"/>
      <c r="D60" s="1287"/>
      <c r="E60" s="1287"/>
      <c r="F60" s="1287"/>
      <c r="G60" s="1287"/>
      <c r="H60" s="1288"/>
      <c r="I60" s="1286" t="s">
        <v>69</v>
      </c>
      <c r="J60" s="1287"/>
      <c r="K60" s="1287"/>
      <c r="L60" s="1287"/>
      <c r="M60" s="1287"/>
      <c r="N60" s="1287"/>
      <c r="O60" s="1287"/>
      <c r="P60" s="1289" t="s">
        <v>68</v>
      </c>
      <c r="Q60" s="1290"/>
      <c r="R60" s="1290"/>
      <c r="S60" s="1290"/>
      <c r="T60" s="1290"/>
      <c r="U60" s="1290" t="s">
        <v>69</v>
      </c>
      <c r="V60" s="1290"/>
      <c r="W60" s="1290"/>
      <c r="X60" s="1290"/>
      <c r="Y60" s="1290"/>
      <c r="Z60" s="1286"/>
      <c r="AA60" s="1291"/>
      <c r="AB60" s="599"/>
    </row>
    <row r="61" spans="1:28" ht="29.25" customHeight="1">
      <c r="A61" s="318"/>
      <c r="B61" s="319" t="s">
        <v>242</v>
      </c>
      <c r="C61" s="319" t="s">
        <v>240</v>
      </c>
      <c r="D61" s="601" t="s">
        <v>245</v>
      </c>
      <c r="E61" s="319" t="s">
        <v>248</v>
      </c>
      <c r="F61" s="319" t="s">
        <v>526</v>
      </c>
      <c r="G61" s="319" t="s">
        <v>535</v>
      </c>
      <c r="H61" s="319" t="s">
        <v>251</v>
      </c>
      <c r="I61" s="319" t="s">
        <v>242</v>
      </c>
      <c r="J61" s="949" t="s">
        <v>240</v>
      </c>
      <c r="K61" s="958" t="s">
        <v>245</v>
      </c>
      <c r="L61" s="959" t="s">
        <v>248</v>
      </c>
      <c r="M61" s="319" t="s">
        <v>526</v>
      </c>
      <c r="N61" s="1039" t="s">
        <v>535</v>
      </c>
      <c r="O61" s="959" t="s">
        <v>251</v>
      </c>
      <c r="P61" s="950" t="s">
        <v>242</v>
      </c>
      <c r="Q61" s="319" t="s">
        <v>240</v>
      </c>
      <c r="R61" s="601" t="s">
        <v>245</v>
      </c>
      <c r="S61" s="319" t="s">
        <v>248</v>
      </c>
      <c r="T61" s="319" t="s">
        <v>451</v>
      </c>
      <c r="U61" s="319" t="s">
        <v>242</v>
      </c>
      <c r="V61" s="319" t="s">
        <v>240</v>
      </c>
      <c r="W61" s="601" t="s">
        <v>245</v>
      </c>
      <c r="X61" s="319" t="s">
        <v>248</v>
      </c>
      <c r="Y61" s="319" t="s">
        <v>526</v>
      </c>
      <c r="Z61" s="1039" t="s">
        <v>535</v>
      </c>
      <c r="AA61" s="319" t="s">
        <v>251</v>
      </c>
      <c r="AB61" s="599"/>
    </row>
    <row r="62" spans="1:28" ht="30.75">
      <c r="A62" s="48" t="s">
        <v>259</v>
      </c>
      <c r="B62" s="55">
        <v>353080</v>
      </c>
      <c r="C62" s="55">
        <v>353080</v>
      </c>
      <c r="D62" s="55">
        <v>353080</v>
      </c>
      <c r="E62" s="55"/>
      <c r="F62" s="55"/>
      <c r="G62" s="55"/>
      <c r="H62" s="871"/>
      <c r="I62" s="55"/>
      <c r="J62" s="55"/>
      <c r="K62" s="55"/>
      <c r="L62" s="55"/>
      <c r="M62" s="412"/>
      <c r="N62" s="412"/>
      <c r="O62" s="412"/>
      <c r="P62" s="415"/>
      <c r="Q62" s="52"/>
      <c r="R62" s="52"/>
      <c r="S62" s="52"/>
      <c r="T62" s="52"/>
      <c r="U62" s="55"/>
      <c r="V62" s="55"/>
      <c r="W62" s="55"/>
      <c r="X62" s="55"/>
      <c r="Y62" s="52"/>
      <c r="Z62" s="411"/>
      <c r="AA62" s="83"/>
      <c r="AB62" s="599"/>
    </row>
    <row r="63" spans="1:28" ht="18">
      <c r="A63" s="48" t="s">
        <v>536</v>
      </c>
      <c r="B63" s="84"/>
      <c r="C63" s="84"/>
      <c r="D63" s="84"/>
      <c r="E63" s="84"/>
      <c r="F63" s="84"/>
      <c r="G63" s="84"/>
      <c r="H63" s="871"/>
      <c r="I63" s="84"/>
      <c r="J63" s="84"/>
      <c r="K63" s="84"/>
      <c r="L63" s="84"/>
      <c r="M63" s="416"/>
      <c r="N63" s="416"/>
      <c r="O63" s="416"/>
      <c r="P63" s="415"/>
      <c r="Q63" s="52"/>
      <c r="R63" s="52"/>
      <c r="S63" s="52"/>
      <c r="T63" s="52"/>
      <c r="U63" s="55"/>
      <c r="V63" s="55"/>
      <c r="W63" s="55"/>
      <c r="X63" s="55"/>
      <c r="Y63" s="52"/>
      <c r="Z63" s="411"/>
      <c r="AA63" s="83"/>
      <c r="AB63" s="599"/>
    </row>
    <row r="64" spans="1:28" ht="18">
      <c r="A64" s="85" t="s">
        <v>234</v>
      </c>
      <c r="B64" s="84"/>
      <c r="C64" s="84"/>
      <c r="D64" s="84"/>
      <c r="E64" s="84"/>
      <c r="F64" s="84"/>
      <c r="G64" s="84"/>
      <c r="H64" s="84"/>
      <c r="I64" s="84">
        <v>134050</v>
      </c>
      <c r="J64" s="84">
        <v>134050</v>
      </c>
      <c r="K64" s="84">
        <v>134050</v>
      </c>
      <c r="L64" s="84"/>
      <c r="M64" s="84"/>
      <c r="N64" s="84"/>
      <c r="O64" s="871"/>
      <c r="P64" s="415"/>
      <c r="Q64" s="52"/>
      <c r="R64" s="52"/>
      <c r="S64" s="52"/>
      <c r="T64" s="52"/>
      <c r="U64" s="55"/>
      <c r="V64" s="55"/>
      <c r="W64" s="55"/>
      <c r="X64" s="55"/>
      <c r="Y64" s="52"/>
      <c r="Z64" s="411"/>
      <c r="AA64" s="83"/>
      <c r="AB64" s="599"/>
    </row>
    <row r="65" spans="1:28" ht="18">
      <c r="A65" s="85" t="s">
        <v>235</v>
      </c>
      <c r="B65" s="84"/>
      <c r="C65" s="84"/>
      <c r="D65" s="84"/>
      <c r="E65" s="84"/>
      <c r="F65" s="84"/>
      <c r="G65" s="84"/>
      <c r="H65" s="84"/>
      <c r="I65" s="84">
        <v>308914</v>
      </c>
      <c r="J65" s="84">
        <v>308914</v>
      </c>
      <c r="K65" s="84">
        <v>308914</v>
      </c>
      <c r="L65" s="84"/>
      <c r="M65" s="84"/>
      <c r="N65" s="84"/>
      <c r="O65" s="871"/>
      <c r="P65" s="415"/>
      <c r="Q65" s="52"/>
      <c r="R65" s="52"/>
      <c r="S65" s="52"/>
      <c r="T65" s="52"/>
      <c r="U65" s="55"/>
      <c r="V65" s="55"/>
      <c r="W65" s="55"/>
      <c r="X65" s="55"/>
      <c r="Y65" s="52"/>
      <c r="Z65" s="411"/>
      <c r="AA65" s="83"/>
      <c r="AB65" s="599"/>
    </row>
    <row r="66" spans="1:28" ht="18">
      <c r="A66" s="85" t="s">
        <v>363</v>
      </c>
      <c r="B66" s="84"/>
      <c r="C66" s="84"/>
      <c r="D66" s="84"/>
      <c r="E66" s="84"/>
      <c r="F66" s="84"/>
      <c r="G66" s="84"/>
      <c r="H66" s="84"/>
      <c r="I66" s="84">
        <v>53620</v>
      </c>
      <c r="J66" s="84">
        <v>53620</v>
      </c>
      <c r="K66" s="84">
        <v>53620</v>
      </c>
      <c r="L66" s="84"/>
      <c r="M66" s="84"/>
      <c r="N66" s="84"/>
      <c r="O66" s="871"/>
      <c r="P66" s="415"/>
      <c r="Q66" s="52"/>
      <c r="R66" s="52"/>
      <c r="S66" s="52"/>
      <c r="T66" s="52"/>
      <c r="U66" s="55"/>
      <c r="V66" s="55"/>
      <c r="W66" s="55"/>
      <c r="X66" s="55"/>
      <c r="Y66" s="52"/>
      <c r="Z66" s="411"/>
      <c r="AA66" s="83"/>
      <c r="AB66" s="599"/>
    </row>
    <row r="67" spans="1:28" ht="18">
      <c r="A67" s="85" t="s">
        <v>236</v>
      </c>
      <c r="B67" s="84"/>
      <c r="C67" s="84"/>
      <c r="D67" s="84"/>
      <c r="E67" s="84"/>
      <c r="F67" s="84"/>
      <c r="G67" s="84"/>
      <c r="H67" s="84"/>
      <c r="I67" s="84">
        <v>56480</v>
      </c>
      <c r="J67" s="84">
        <v>56480</v>
      </c>
      <c r="K67" s="84">
        <v>56480</v>
      </c>
      <c r="L67" s="84"/>
      <c r="M67" s="84"/>
      <c r="N67" s="84"/>
      <c r="O67" s="871"/>
      <c r="P67" s="415"/>
      <c r="Q67" s="52"/>
      <c r="R67" s="52"/>
      <c r="S67" s="52"/>
      <c r="T67" s="52"/>
      <c r="U67" s="55"/>
      <c r="V67" s="55"/>
      <c r="W67" s="55"/>
      <c r="X67" s="55"/>
      <c r="Y67" s="52"/>
      <c r="Z67" s="411"/>
      <c r="AA67" s="83"/>
      <c r="AB67" s="599"/>
    </row>
    <row r="68" spans="1:28" ht="18">
      <c r="A68" s="85" t="s">
        <v>237</v>
      </c>
      <c r="B68" s="84"/>
      <c r="C68" s="84"/>
      <c r="D68" s="84"/>
      <c r="E68" s="84"/>
      <c r="F68" s="84"/>
      <c r="G68" s="84"/>
      <c r="H68" s="84"/>
      <c r="I68" s="84">
        <v>86670</v>
      </c>
      <c r="J68" s="84">
        <v>86670</v>
      </c>
      <c r="K68" s="84">
        <v>86670</v>
      </c>
      <c r="L68" s="84"/>
      <c r="M68" s="84"/>
      <c r="N68" s="84"/>
      <c r="O68" s="871"/>
      <c r="P68" s="415"/>
      <c r="Q68" s="52"/>
      <c r="R68" s="52"/>
      <c r="S68" s="52"/>
      <c r="T68" s="52"/>
      <c r="U68" s="55"/>
      <c r="V68" s="55"/>
      <c r="W68" s="55"/>
      <c r="X68" s="55"/>
      <c r="Y68" s="52"/>
      <c r="Z68" s="411"/>
      <c r="AA68" s="83"/>
      <c r="AB68" s="599"/>
    </row>
    <row r="69" spans="1:28" ht="18">
      <c r="A69" s="85" t="s">
        <v>238</v>
      </c>
      <c r="B69" s="84"/>
      <c r="C69" s="84"/>
      <c r="D69" s="84"/>
      <c r="E69" s="84"/>
      <c r="F69" s="84"/>
      <c r="G69" s="84"/>
      <c r="H69" s="84"/>
      <c r="I69" s="84">
        <v>54900</v>
      </c>
      <c r="J69" s="84">
        <v>54900</v>
      </c>
      <c r="K69" s="84">
        <v>54900</v>
      </c>
      <c r="L69" s="84"/>
      <c r="M69" s="84"/>
      <c r="N69" s="84"/>
      <c r="O69" s="871"/>
      <c r="P69" s="415"/>
      <c r="Q69" s="52"/>
      <c r="R69" s="52"/>
      <c r="S69" s="52"/>
      <c r="T69" s="52"/>
      <c r="U69" s="55"/>
      <c r="V69" s="55"/>
      <c r="W69" s="55"/>
      <c r="X69" s="55"/>
      <c r="Y69" s="52"/>
      <c r="Z69" s="411"/>
      <c r="AA69" s="83"/>
      <c r="AB69" s="599"/>
    </row>
    <row r="70" spans="1:28" ht="18">
      <c r="A70" s="85" t="s">
        <v>239</v>
      </c>
      <c r="B70" s="84"/>
      <c r="C70" s="84"/>
      <c r="D70" s="84"/>
      <c r="E70" s="84"/>
      <c r="F70" s="84"/>
      <c r="G70" s="84"/>
      <c r="H70" s="84"/>
      <c r="I70" s="84">
        <v>86670</v>
      </c>
      <c r="J70" s="84">
        <v>86670</v>
      </c>
      <c r="K70" s="84">
        <v>86670</v>
      </c>
      <c r="L70" s="84"/>
      <c r="M70" s="84"/>
      <c r="N70" s="84"/>
      <c r="O70" s="871"/>
      <c r="P70" s="415"/>
      <c r="Q70" s="52"/>
      <c r="R70" s="52"/>
      <c r="S70" s="52"/>
      <c r="T70" s="52"/>
      <c r="U70" s="55"/>
      <c r="V70" s="55"/>
      <c r="W70" s="55"/>
      <c r="X70" s="55"/>
      <c r="Y70" s="52"/>
      <c r="Z70" s="411"/>
      <c r="AA70" s="83"/>
      <c r="AB70" s="599"/>
    </row>
    <row r="71" spans="1:28" ht="18">
      <c r="A71" s="85" t="s">
        <v>501</v>
      </c>
      <c r="B71" s="84"/>
      <c r="C71" s="84"/>
      <c r="D71" s="84"/>
      <c r="E71" s="84"/>
      <c r="F71" s="84"/>
      <c r="G71" s="84"/>
      <c r="H71" s="84"/>
      <c r="I71" s="84">
        <v>244440</v>
      </c>
      <c r="J71" s="84">
        <v>244440</v>
      </c>
      <c r="K71" s="84">
        <v>244440</v>
      </c>
      <c r="L71" s="84"/>
      <c r="M71" s="84"/>
      <c r="N71" s="84"/>
      <c r="O71" s="871"/>
      <c r="P71" s="415"/>
      <c r="Q71" s="52"/>
      <c r="R71" s="52"/>
      <c r="S71" s="52"/>
      <c r="T71" s="52"/>
      <c r="U71" s="55"/>
      <c r="V71" s="55"/>
      <c r="W71" s="55"/>
      <c r="X71" s="55"/>
      <c r="Y71" s="52"/>
      <c r="Z71" s="411"/>
      <c r="AA71" s="83"/>
      <c r="AB71" s="599"/>
    </row>
    <row r="72" spans="1:28" ht="39" customHeight="1">
      <c r="A72" s="85" t="s">
        <v>246</v>
      </c>
      <c r="B72" s="84">
        <v>131891171</v>
      </c>
      <c r="C72" s="84">
        <f>131891171</f>
        <v>131891171</v>
      </c>
      <c r="D72" s="84">
        <f>131891171</f>
        <v>131891171</v>
      </c>
      <c r="E72" s="84"/>
      <c r="F72" s="84"/>
      <c r="G72" s="84"/>
      <c r="H72" s="871"/>
      <c r="I72" s="84"/>
      <c r="J72" s="84"/>
      <c r="K72" s="84"/>
      <c r="L72" s="84"/>
      <c r="M72" s="84"/>
      <c r="N72" s="84"/>
      <c r="O72" s="416"/>
      <c r="P72" s="415"/>
      <c r="Q72" s="52"/>
      <c r="R72" s="52"/>
      <c r="S72" s="52"/>
      <c r="T72" s="52"/>
      <c r="U72" s="55"/>
      <c r="V72" s="55"/>
      <c r="W72" s="55"/>
      <c r="X72" s="55"/>
      <c r="Y72" s="52"/>
      <c r="Z72" s="411"/>
      <c r="AA72" s="83"/>
      <c r="AB72" s="599"/>
    </row>
    <row r="73" spans="1:28" ht="18">
      <c r="A73" s="85" t="s">
        <v>256</v>
      </c>
      <c r="B73" s="84"/>
      <c r="C73" s="84"/>
      <c r="D73" s="84"/>
      <c r="E73" s="84"/>
      <c r="F73" s="84"/>
      <c r="G73" s="84"/>
      <c r="H73" s="84"/>
      <c r="I73" s="84">
        <v>12000</v>
      </c>
      <c r="J73" s="84">
        <v>12000</v>
      </c>
      <c r="K73" s="84">
        <v>12000</v>
      </c>
      <c r="L73" s="84"/>
      <c r="M73" s="84"/>
      <c r="N73" s="84"/>
      <c r="O73" s="416"/>
      <c r="P73" s="415"/>
      <c r="Q73" s="52"/>
      <c r="R73" s="52"/>
      <c r="S73" s="52"/>
      <c r="T73" s="52"/>
      <c r="U73" s="55"/>
      <c r="V73" s="55"/>
      <c r="W73" s="55"/>
      <c r="X73" s="55"/>
      <c r="Y73" s="52"/>
      <c r="Z73" s="411"/>
      <c r="AA73" s="83"/>
      <c r="AB73" s="599"/>
    </row>
    <row r="74" spans="1:28" ht="18" hidden="1">
      <c r="A74" s="85" t="s">
        <v>257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416"/>
      <c r="P74" s="415"/>
      <c r="Q74" s="52"/>
      <c r="R74" s="52"/>
      <c r="S74" s="52"/>
      <c r="T74" s="52"/>
      <c r="U74" s="55"/>
      <c r="V74" s="55"/>
      <c r="W74" s="55"/>
      <c r="X74" s="55"/>
      <c r="Y74" s="52"/>
      <c r="Z74" s="411"/>
      <c r="AA74" s="83"/>
      <c r="AB74" s="599"/>
    </row>
    <row r="75" spans="1:28" ht="47.25" customHeight="1" hidden="1">
      <c r="A75" s="85" t="s">
        <v>258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416"/>
      <c r="P75" s="415"/>
      <c r="Q75" s="52"/>
      <c r="R75" s="52"/>
      <c r="S75" s="52"/>
      <c r="T75" s="52"/>
      <c r="U75" s="55"/>
      <c r="V75" s="55"/>
      <c r="W75" s="55"/>
      <c r="X75" s="55"/>
      <c r="Y75" s="52"/>
      <c r="Z75" s="411"/>
      <c r="AA75" s="83"/>
      <c r="AB75" s="599"/>
    </row>
    <row r="76" spans="1:28" ht="39" customHeight="1" hidden="1">
      <c r="A76" s="258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416"/>
      <c r="P76" s="415"/>
      <c r="Q76" s="52"/>
      <c r="R76" s="52"/>
      <c r="S76" s="52"/>
      <c r="T76" s="52"/>
      <c r="U76" s="55"/>
      <c r="V76" s="55"/>
      <c r="W76" s="55"/>
      <c r="X76" s="55"/>
      <c r="Y76" s="52"/>
      <c r="Z76" s="411"/>
      <c r="AA76" s="83"/>
      <c r="AB76" s="599"/>
    </row>
    <row r="77" spans="1:28" ht="39" customHeight="1" hidden="1">
      <c r="A77" s="258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416"/>
      <c r="P77" s="415"/>
      <c r="Q77" s="52"/>
      <c r="R77" s="52"/>
      <c r="S77" s="52"/>
      <c r="T77" s="52"/>
      <c r="U77" s="55"/>
      <c r="V77" s="55"/>
      <c r="W77" s="55"/>
      <c r="X77" s="55"/>
      <c r="Y77" s="52"/>
      <c r="Z77" s="411"/>
      <c r="AA77" s="83"/>
      <c r="AB77" s="599"/>
    </row>
    <row r="78" spans="1:28" ht="39" customHeight="1" hidden="1">
      <c r="A78" s="258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416"/>
      <c r="P78" s="415"/>
      <c r="Q78" s="52"/>
      <c r="R78" s="52"/>
      <c r="S78" s="52"/>
      <c r="T78" s="52"/>
      <c r="U78" s="55"/>
      <c r="V78" s="55"/>
      <c r="W78" s="55"/>
      <c r="X78" s="55"/>
      <c r="Y78" s="52"/>
      <c r="Z78" s="411"/>
      <c r="AA78" s="83"/>
      <c r="AB78" s="599"/>
    </row>
    <row r="79" spans="1:28" ht="39" customHeight="1" hidden="1">
      <c r="A79" s="258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416"/>
      <c r="P79" s="415"/>
      <c r="Q79" s="52"/>
      <c r="R79" s="52"/>
      <c r="S79" s="52"/>
      <c r="T79" s="52"/>
      <c r="U79" s="55"/>
      <c r="V79" s="55"/>
      <c r="W79" s="55"/>
      <c r="X79" s="55"/>
      <c r="Y79" s="52"/>
      <c r="Z79" s="411"/>
      <c r="AA79" s="83"/>
      <c r="AB79" s="599"/>
    </row>
    <row r="80" spans="1:28" ht="39" customHeight="1" hidden="1">
      <c r="A80" s="258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416"/>
      <c r="P80" s="415"/>
      <c r="Q80" s="52"/>
      <c r="R80" s="52"/>
      <c r="S80" s="52"/>
      <c r="T80" s="52"/>
      <c r="U80" s="55"/>
      <c r="V80" s="55"/>
      <c r="W80" s="55"/>
      <c r="X80" s="55"/>
      <c r="Y80" s="52"/>
      <c r="Z80" s="411"/>
      <c r="AA80" s="83"/>
      <c r="AB80" s="599"/>
    </row>
    <row r="81" spans="1:28" ht="39" customHeight="1" hidden="1">
      <c r="A81" s="258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416"/>
      <c r="P81" s="415"/>
      <c r="Q81" s="52"/>
      <c r="R81" s="52"/>
      <c r="S81" s="52"/>
      <c r="T81" s="52"/>
      <c r="U81" s="55"/>
      <c r="V81" s="55"/>
      <c r="W81" s="55"/>
      <c r="X81" s="55"/>
      <c r="Y81" s="52"/>
      <c r="Z81" s="411"/>
      <c r="AA81" s="83"/>
      <c r="AB81" s="599"/>
    </row>
    <row r="82" spans="1:28" s="15" customFormat="1" ht="27" customHeight="1" thickBot="1">
      <c r="A82" s="51" t="s">
        <v>1</v>
      </c>
      <c r="B82" s="57">
        <f aca="true" t="shared" si="2" ref="B82:G82">SUM(B62:B76)</f>
        <v>132244251</v>
      </c>
      <c r="C82" s="57">
        <f>SUM(C62:C76)</f>
        <v>132244251</v>
      </c>
      <c r="D82" s="57">
        <f>SUM(D62:D76)</f>
        <v>132244251</v>
      </c>
      <c r="E82" s="57">
        <f t="shared" si="2"/>
        <v>0</v>
      </c>
      <c r="F82" s="57">
        <f t="shared" si="2"/>
        <v>0</v>
      </c>
      <c r="G82" s="57">
        <f t="shared" si="2"/>
        <v>0</v>
      </c>
      <c r="H82" s="876" t="e">
        <f>F82/E82</f>
        <v>#DIV/0!</v>
      </c>
      <c r="I82" s="875">
        <f aca="true" t="shared" si="3" ref="I82:U82">SUM(I62:I76)</f>
        <v>1037744</v>
      </c>
      <c r="J82" s="875">
        <f>SUM(J62:J76)</f>
        <v>1037744</v>
      </c>
      <c r="K82" s="875">
        <f>SUM(K62:K76)</f>
        <v>1037744</v>
      </c>
      <c r="L82" s="875">
        <f>SUM(L62:L76)</f>
        <v>0</v>
      </c>
      <c r="M82" s="875">
        <f>SUM(M62:M76)</f>
        <v>0</v>
      </c>
      <c r="N82" s="875">
        <f>SUM(N62:N76)</f>
        <v>0</v>
      </c>
      <c r="O82" s="876" t="e">
        <f>M82/L82</f>
        <v>#DIV/0!</v>
      </c>
      <c r="P82" s="874">
        <f t="shared" si="3"/>
        <v>0</v>
      </c>
      <c r="Q82" s="57">
        <f t="shared" si="3"/>
        <v>0</v>
      </c>
      <c r="R82" s="57">
        <f t="shared" si="3"/>
        <v>0</v>
      </c>
      <c r="S82" s="57">
        <f t="shared" si="3"/>
        <v>0</v>
      </c>
      <c r="T82" s="57">
        <f t="shared" si="3"/>
        <v>0</v>
      </c>
      <c r="U82" s="57">
        <f t="shared" si="3"/>
        <v>0</v>
      </c>
      <c r="V82" s="57"/>
      <c r="W82" s="57"/>
      <c r="X82" s="57"/>
      <c r="Y82" s="57"/>
      <c r="Z82" s="1038"/>
      <c r="AA82" s="281"/>
      <c r="AB82" s="599"/>
    </row>
    <row r="83" spans="9:21" ht="15">
      <c r="I83" s="303"/>
      <c r="U83" s="303"/>
    </row>
    <row r="84" spans="7:9" ht="12.75">
      <c r="G84" s="16">
        <f>109785+8150-3145+3999-2176+8925</f>
        <v>125538</v>
      </c>
      <c r="I84" s="409"/>
    </row>
    <row r="85" spans="5:14" ht="15">
      <c r="E85" s="409"/>
      <c r="F85" s="409"/>
      <c r="G85" s="409"/>
      <c r="N85" s="1047">
        <f>N82+G82</f>
        <v>0</v>
      </c>
    </row>
    <row r="86" ht="12.75">
      <c r="A86" s="329"/>
    </row>
  </sheetData>
  <sheetProtection/>
  <mergeCells count="19">
    <mergeCell ref="U7:AA7"/>
    <mergeCell ref="A57:U57"/>
    <mergeCell ref="A59:A60"/>
    <mergeCell ref="B59:O59"/>
    <mergeCell ref="P59:AA59"/>
    <mergeCell ref="B60:H60"/>
    <mergeCell ref="I60:O60"/>
    <mergeCell ref="P60:T60"/>
    <mergeCell ref="U60:AA60"/>
    <mergeCell ref="P1:U1"/>
    <mergeCell ref="A2:U2"/>
    <mergeCell ref="A3:U3"/>
    <mergeCell ref="A4:U4"/>
    <mergeCell ref="A6:A7"/>
    <mergeCell ref="B6:O6"/>
    <mergeCell ref="P6:AA6"/>
    <mergeCell ref="B7:H7"/>
    <mergeCell ref="I7:O7"/>
    <mergeCell ref="P7:T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3" r:id="rId1"/>
  <headerFooter alignWithMargins="0">
    <oddFooter>&amp;R
</oddFooter>
  </headerFooter>
  <colBreaks count="1" manualBreakCount="1">
    <brk id="28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="60" workbookViewId="0" topLeftCell="A1">
      <selection activeCell="G47" sqref="G47"/>
    </sheetView>
  </sheetViews>
  <sheetFormatPr defaultColWidth="9.140625" defaultRowHeight="12.75"/>
  <cols>
    <col min="1" max="1" width="9.00390625" style="882" customWidth="1"/>
    <col min="2" max="2" width="58.57421875" style="883" customWidth="1"/>
    <col min="3" max="3" width="16.421875" style="883" customWidth="1"/>
    <col min="4" max="7" width="14.7109375" style="882" customWidth="1"/>
    <col min="8" max="9" width="9.140625" style="882" customWidth="1"/>
    <col min="10" max="16384" width="9.140625" style="882" customWidth="1"/>
  </cols>
  <sheetData>
    <row r="1" spans="5:6" ht="15">
      <c r="E1" s="1293" t="s">
        <v>450</v>
      </c>
      <c r="F1" s="1293"/>
    </row>
    <row r="2" spans="1:7" ht="48.75" customHeight="1">
      <c r="A2" s="1294" t="s">
        <v>453</v>
      </c>
      <c r="B2" s="1294"/>
      <c r="C2" s="1294"/>
      <c r="D2" s="1294"/>
      <c r="E2" s="1294"/>
      <c r="F2" s="1294"/>
      <c r="G2" s="884"/>
    </row>
    <row r="3" spans="1:8" ht="15.75" customHeight="1" thickBot="1">
      <c r="A3" s="761"/>
      <c r="B3" s="885"/>
      <c r="C3" s="885"/>
      <c r="D3" s="761"/>
      <c r="E3" s="1295" t="s">
        <v>543</v>
      </c>
      <c r="F3" s="1295"/>
      <c r="H3" s="886"/>
    </row>
    <row r="4" spans="1:7" ht="63" customHeight="1">
      <c r="A4" s="1296" t="s">
        <v>267</v>
      </c>
      <c r="B4" s="1298" t="s">
        <v>454</v>
      </c>
      <c r="C4" s="1300" t="s">
        <v>455</v>
      </c>
      <c r="D4" s="1301"/>
      <c r="E4" s="1301"/>
      <c r="F4" s="1302"/>
      <c r="G4" s="887"/>
    </row>
    <row r="5" spans="1:6" ht="16.5" thickBot="1">
      <c r="A5" s="1297"/>
      <c r="B5" s="1299"/>
      <c r="C5" s="888">
        <v>2016</v>
      </c>
      <c r="D5" s="888">
        <v>2017</v>
      </c>
      <c r="E5" s="888">
        <v>2018</v>
      </c>
      <c r="F5" s="888">
        <v>2019</v>
      </c>
    </row>
    <row r="6" spans="1:6" ht="16.5" thickBot="1">
      <c r="A6" s="889">
        <v>1</v>
      </c>
      <c r="B6" s="890">
        <v>2</v>
      </c>
      <c r="C6" s="890">
        <v>3</v>
      </c>
      <c r="D6" s="891">
        <v>4</v>
      </c>
      <c r="E6" s="891">
        <v>5</v>
      </c>
      <c r="F6" s="892">
        <v>6</v>
      </c>
    </row>
    <row r="7" spans="1:9" ht="16.5" thickBot="1">
      <c r="A7" s="893" t="s">
        <v>30</v>
      </c>
      <c r="B7" s="90" t="s">
        <v>559</v>
      </c>
      <c r="C7" s="857">
        <v>130966</v>
      </c>
      <c r="D7" s="857">
        <v>3197227</v>
      </c>
      <c r="E7" s="894">
        <v>3115586</v>
      </c>
      <c r="F7" s="895">
        <v>2283109</v>
      </c>
      <c r="G7" s="947"/>
      <c r="I7" s="947"/>
    </row>
    <row r="8" spans="1:6" ht="27" customHeight="1" hidden="1">
      <c r="A8" s="896" t="s">
        <v>31</v>
      </c>
      <c r="B8" s="91"/>
      <c r="C8" s="91"/>
      <c r="D8" s="75"/>
      <c r="E8" s="897"/>
      <c r="F8" s="898"/>
    </row>
    <row r="9" spans="1:6" ht="27" customHeight="1" hidden="1">
      <c r="A9" s="896" t="s">
        <v>10</v>
      </c>
      <c r="B9" s="87"/>
      <c r="C9" s="87"/>
      <c r="D9" s="75"/>
      <c r="E9" s="897"/>
      <c r="F9" s="898"/>
    </row>
    <row r="10" spans="1:6" ht="27" customHeight="1" hidden="1" thickBot="1">
      <c r="A10" s="896" t="s">
        <v>11</v>
      </c>
      <c r="B10" s="86"/>
      <c r="C10" s="86"/>
      <c r="D10" s="75"/>
      <c r="E10" s="897"/>
      <c r="F10" s="898"/>
    </row>
    <row r="11" spans="1:6" ht="27" customHeight="1" hidden="1">
      <c r="A11" s="896" t="s">
        <v>12</v>
      </c>
      <c r="B11" s="87"/>
      <c r="C11" s="87"/>
      <c r="D11" s="75"/>
      <c r="E11" s="897"/>
      <c r="F11" s="898"/>
    </row>
    <row r="12" spans="1:6" ht="27" customHeight="1" hidden="1">
      <c r="A12" s="896" t="s">
        <v>13</v>
      </c>
      <c r="B12" s="86"/>
      <c r="C12" s="86"/>
      <c r="D12" s="75"/>
      <c r="E12" s="897"/>
      <c r="F12" s="898"/>
    </row>
    <row r="13" spans="1:6" ht="27" customHeight="1" hidden="1">
      <c r="A13" s="896" t="s">
        <v>14</v>
      </c>
      <c r="B13" s="86"/>
      <c r="C13" s="86"/>
      <c r="D13" s="75"/>
      <c r="E13" s="897"/>
      <c r="F13" s="898"/>
    </row>
    <row r="14" spans="1:6" ht="27" customHeight="1" hidden="1">
      <c r="A14" s="896" t="s">
        <v>62</v>
      </c>
      <c r="B14" s="86"/>
      <c r="C14" s="86"/>
      <c r="D14" s="75"/>
      <c r="E14" s="897"/>
      <c r="F14" s="898"/>
    </row>
    <row r="15" spans="1:6" ht="27" customHeight="1" hidden="1">
      <c r="A15" s="896" t="s">
        <v>63</v>
      </c>
      <c r="B15" s="86"/>
      <c r="C15" s="86"/>
      <c r="D15" s="75"/>
      <c r="E15" s="897"/>
      <c r="F15" s="898"/>
    </row>
    <row r="16" spans="1:6" ht="27" customHeight="1" hidden="1" thickBot="1">
      <c r="A16" s="896" t="s">
        <v>456</v>
      </c>
      <c r="B16" s="86"/>
      <c r="C16" s="86"/>
      <c r="D16" s="75"/>
      <c r="E16" s="897"/>
      <c r="F16" s="898"/>
    </row>
    <row r="17" spans="1:6" ht="27" customHeight="1" hidden="1">
      <c r="A17" s="899"/>
      <c r="B17" s="900"/>
      <c r="C17" s="900"/>
      <c r="D17" s="901"/>
      <c r="E17" s="901"/>
      <c r="F17" s="902"/>
    </row>
    <row r="18" spans="1:6" ht="27" customHeight="1" hidden="1">
      <c r="A18" s="899"/>
      <c r="B18" s="900"/>
      <c r="C18" s="900"/>
      <c r="D18" s="901"/>
      <c r="E18" s="901"/>
      <c r="F18" s="902"/>
    </row>
    <row r="19" spans="1:6" ht="27" customHeight="1" hidden="1">
      <c r="A19" s="899"/>
      <c r="B19" s="900"/>
      <c r="C19" s="900"/>
      <c r="D19" s="901"/>
      <c r="E19" s="901"/>
      <c r="F19" s="902"/>
    </row>
    <row r="20" spans="1:6" ht="27" customHeight="1" hidden="1">
      <c r="A20" s="899"/>
      <c r="B20" s="900"/>
      <c r="C20" s="900"/>
      <c r="D20" s="901"/>
      <c r="E20" s="901"/>
      <c r="F20" s="902"/>
    </row>
    <row r="21" spans="1:6" ht="27" customHeight="1" hidden="1">
      <c r="A21" s="899"/>
      <c r="B21" s="900"/>
      <c r="C21" s="900"/>
      <c r="D21" s="901"/>
      <c r="E21" s="901"/>
      <c r="F21" s="902"/>
    </row>
    <row r="22" spans="1:6" ht="27" customHeight="1" hidden="1">
      <c r="A22" s="899"/>
      <c r="B22" s="900"/>
      <c r="C22" s="900"/>
      <c r="D22" s="901"/>
      <c r="E22" s="901"/>
      <c r="F22" s="902"/>
    </row>
    <row r="23" spans="1:6" ht="27" customHeight="1" hidden="1">
      <c r="A23" s="899"/>
      <c r="B23" s="900"/>
      <c r="C23" s="900"/>
      <c r="D23" s="901"/>
      <c r="E23" s="901"/>
      <c r="F23" s="902"/>
    </row>
    <row r="24" spans="1:6" ht="32.25" customHeight="1" hidden="1" thickBot="1">
      <c r="A24" s="899" t="s">
        <v>12</v>
      </c>
      <c r="B24" s="900"/>
      <c r="C24" s="900"/>
      <c r="D24" s="901"/>
      <c r="E24" s="901"/>
      <c r="F24" s="902"/>
    </row>
    <row r="25" spans="1:7" ht="27" customHeight="1" thickBot="1">
      <c r="A25" s="889">
        <v>2</v>
      </c>
      <c r="B25" s="903" t="s">
        <v>457</v>
      </c>
      <c r="C25" s="904">
        <f>SUM(C7:C24)</f>
        <v>130966</v>
      </c>
      <c r="D25" s="904">
        <f>SUM(D7:D24)</f>
        <v>3197227</v>
      </c>
      <c r="E25" s="904">
        <f>SUM(E7:E24)</f>
        <v>3115586</v>
      </c>
      <c r="F25" s="905">
        <f>SUM(F7:F24)</f>
        <v>2283109</v>
      </c>
      <c r="G25" s="948"/>
    </row>
    <row r="27" spans="2:3" ht="15">
      <c r="B27" s="906"/>
      <c r="C27" s="906"/>
    </row>
    <row r="28" spans="2:3" ht="15.75">
      <c r="B28" s="907"/>
      <c r="C28" s="907"/>
    </row>
    <row r="29" spans="2:3" ht="15">
      <c r="B29" s="906"/>
      <c r="C29" s="906"/>
    </row>
  </sheetData>
  <sheetProtection/>
  <mergeCells count="6"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N11" sqref="N11"/>
    </sheetView>
  </sheetViews>
  <sheetFormatPr defaultColWidth="9.140625" defaultRowHeight="12.75"/>
  <cols>
    <col min="1" max="1" width="8.140625" style="760" customWidth="1"/>
    <col min="2" max="2" width="64.00390625" style="760" customWidth="1"/>
    <col min="3" max="3" width="19.8515625" style="760" customWidth="1"/>
    <col min="4" max="4" width="16.7109375" style="760" customWidth="1"/>
    <col min="5" max="5" width="16.7109375" style="760" hidden="1" customWidth="1"/>
    <col min="6" max="6" width="12.00390625" style="760" hidden="1" customWidth="1"/>
    <col min="7" max="7" width="9.140625" style="760" hidden="1" customWidth="1"/>
    <col min="8" max="8" width="13.57421875" style="760" hidden="1" customWidth="1"/>
    <col min="9" max="9" width="12.140625" style="760" hidden="1" customWidth="1"/>
    <col min="10" max="11" width="11.140625" style="760" hidden="1" customWidth="1"/>
    <col min="12" max="12" width="9.140625" style="760" hidden="1" customWidth="1"/>
    <col min="13" max="16384" width="9.140625" style="760" customWidth="1"/>
  </cols>
  <sheetData>
    <row r="1" spans="3:6" ht="15">
      <c r="C1" s="1307" t="s">
        <v>439</v>
      </c>
      <c r="D1" s="1307"/>
      <c r="E1" s="1307"/>
      <c r="F1" s="1307"/>
    </row>
    <row r="2" spans="1:6" ht="47.25" customHeight="1">
      <c r="A2" s="1306" t="s">
        <v>440</v>
      </c>
      <c r="B2" s="1306"/>
      <c r="C2" s="1306"/>
      <c r="D2" s="1306"/>
      <c r="E2" s="1306"/>
      <c r="F2" s="1306"/>
    </row>
    <row r="3" spans="1:6" ht="15.75" customHeight="1" thickBot="1">
      <c r="A3" s="761"/>
      <c r="B3" s="761"/>
      <c r="C3" s="762" t="s">
        <v>543</v>
      </c>
      <c r="D3" s="762"/>
      <c r="E3" s="762"/>
      <c r="F3" s="763"/>
    </row>
    <row r="4" spans="1:12" ht="44.25" customHeight="1" thickBot="1">
      <c r="A4" s="764" t="s">
        <v>267</v>
      </c>
      <c r="B4" s="765" t="s">
        <v>441</v>
      </c>
      <c r="C4" s="766" t="s">
        <v>569</v>
      </c>
      <c r="D4" s="766" t="s">
        <v>244</v>
      </c>
      <c r="E4" s="766" t="s">
        <v>250</v>
      </c>
      <c r="F4" s="766" t="s">
        <v>251</v>
      </c>
      <c r="G4" s="766" t="s">
        <v>490</v>
      </c>
      <c r="H4" s="766" t="s">
        <v>245</v>
      </c>
      <c r="I4" s="766" t="s">
        <v>248</v>
      </c>
      <c r="J4" s="766" t="s">
        <v>526</v>
      </c>
      <c r="K4" s="766" t="s">
        <v>535</v>
      </c>
      <c r="L4" s="766" t="s">
        <v>518</v>
      </c>
    </row>
    <row r="5" spans="1:12" ht="26.25" customHeight="1" thickBot="1">
      <c r="A5" s="767">
        <v>1</v>
      </c>
      <c r="B5" s="768">
        <v>2</v>
      </c>
      <c r="C5" s="769">
        <v>3</v>
      </c>
      <c r="D5" s="769">
        <v>4</v>
      </c>
      <c r="E5" s="769">
        <v>5</v>
      </c>
      <c r="F5" s="769">
        <v>6</v>
      </c>
      <c r="G5" s="769"/>
      <c r="H5" s="769">
        <v>4</v>
      </c>
      <c r="I5" s="769">
        <v>5</v>
      </c>
      <c r="J5" s="769">
        <v>6</v>
      </c>
      <c r="K5" s="769">
        <v>7</v>
      </c>
      <c r="L5" s="769">
        <v>7</v>
      </c>
    </row>
    <row r="6" spans="1:12" ht="31.5" customHeight="1">
      <c r="A6" s="770" t="s">
        <v>30</v>
      </c>
      <c r="B6" s="771" t="s">
        <v>304</v>
      </c>
      <c r="C6" s="772">
        <f>'1.sz.m-önk.össze.bev'!E8</f>
        <v>18000000</v>
      </c>
      <c r="D6" s="772">
        <f>'1.sz.m-önk.össze.bev'!F8</f>
        <v>18000000</v>
      </c>
      <c r="E6" s="772"/>
      <c r="F6" s="782"/>
      <c r="G6" s="772"/>
      <c r="H6" s="772"/>
      <c r="I6" s="772"/>
      <c r="J6" s="772"/>
      <c r="K6" s="772"/>
      <c r="L6" s="782" t="e">
        <f>J6/I6</f>
        <v>#DIV/0!</v>
      </c>
    </row>
    <row r="7" spans="1:12" ht="26.25" customHeight="1">
      <c r="A7" s="773" t="s">
        <v>31</v>
      </c>
      <c r="B7" s="771" t="s">
        <v>442</v>
      </c>
      <c r="C7" s="774">
        <f>'1.sz.m-önk.össze.bev'!E13</f>
        <v>100000000</v>
      </c>
      <c r="D7" s="774">
        <f>'1.sz.m-önk.össze.bev'!F13</f>
        <v>100000000</v>
      </c>
      <c r="E7" s="774"/>
      <c r="F7" s="783"/>
      <c r="G7" s="774"/>
      <c r="H7" s="774"/>
      <c r="I7" s="774"/>
      <c r="J7" s="774"/>
      <c r="K7" s="774"/>
      <c r="L7" s="783" t="e">
        <f aca="true" t="shared" si="0" ref="L7:L12">J7/I7</f>
        <v>#DIV/0!</v>
      </c>
    </row>
    <row r="8" spans="1:12" ht="33.75" customHeight="1">
      <c r="A8" s="775" t="s">
        <v>10</v>
      </c>
      <c r="B8" s="776" t="s">
        <v>443</v>
      </c>
      <c r="C8" s="777">
        <f>'1.sz.m-önk.össze.bev'!E17</f>
        <v>800000</v>
      </c>
      <c r="D8" s="777">
        <v>1604633</v>
      </c>
      <c r="E8" s="777"/>
      <c r="F8" s="784"/>
      <c r="G8" s="777"/>
      <c r="H8" s="777"/>
      <c r="I8" s="777"/>
      <c r="J8" s="777"/>
      <c r="K8" s="777"/>
      <c r="L8" s="784" t="e">
        <f t="shared" si="0"/>
        <v>#DIV/0!</v>
      </c>
    </row>
    <row r="9" spans="1:12" ht="33" customHeight="1">
      <c r="A9" s="773" t="s">
        <v>11</v>
      </c>
      <c r="B9" s="778" t="s">
        <v>319</v>
      </c>
      <c r="C9" s="777">
        <f>'1.sz.m-önk.össze.bev'!E20</f>
        <v>560000</v>
      </c>
      <c r="D9" s="777">
        <v>560020</v>
      </c>
      <c r="E9" s="777"/>
      <c r="F9" s="784"/>
      <c r="G9" s="777"/>
      <c r="H9" s="777"/>
      <c r="I9" s="777"/>
      <c r="J9" s="777"/>
      <c r="K9" s="777"/>
      <c r="L9" s="784" t="e">
        <f t="shared" si="0"/>
        <v>#DIV/0!</v>
      </c>
    </row>
    <row r="10" spans="1:12" ht="26.25" customHeight="1">
      <c r="A10" s="775" t="s">
        <v>12</v>
      </c>
      <c r="B10" s="778" t="s">
        <v>444</v>
      </c>
      <c r="C10" s="779">
        <f>'1.sz.m-önk.össze.bev'!E25</f>
        <v>9403508</v>
      </c>
      <c r="D10" s="779">
        <v>11391016</v>
      </c>
      <c r="E10" s="779"/>
      <c r="F10" s="785"/>
      <c r="G10" s="779"/>
      <c r="H10" s="779"/>
      <c r="I10" s="779"/>
      <c r="J10" s="779"/>
      <c r="K10" s="779"/>
      <c r="L10" s="785" t="e">
        <f t="shared" si="0"/>
        <v>#DIV/0!</v>
      </c>
    </row>
    <row r="11" spans="1:12" ht="26.25" customHeight="1" thickBot="1">
      <c r="A11" s="775" t="s">
        <v>13</v>
      </c>
      <c r="B11" s="778" t="s">
        <v>511</v>
      </c>
      <c r="C11" s="777">
        <v>0</v>
      </c>
      <c r="D11" s="777">
        <v>0</v>
      </c>
      <c r="E11" s="777"/>
      <c r="F11" s="784"/>
      <c r="G11" s="777"/>
      <c r="H11" s="777"/>
      <c r="I11" s="777"/>
      <c r="J11" s="777"/>
      <c r="K11" s="777"/>
      <c r="L11" s="784" t="e">
        <f t="shared" si="0"/>
        <v>#DIV/0!</v>
      </c>
    </row>
    <row r="12" spans="1:12" ht="26.25" customHeight="1" thickBot="1">
      <c r="A12" s="1303" t="s">
        <v>445</v>
      </c>
      <c r="B12" s="1304"/>
      <c r="C12" s="780">
        <f>SUM(C6:C11)</f>
        <v>128763508</v>
      </c>
      <c r="D12" s="780">
        <f>SUM(D6:D11)</f>
        <v>131555669</v>
      </c>
      <c r="E12" s="780">
        <f>SUM(E6:E11)</f>
        <v>0</v>
      </c>
      <c r="F12" s="786">
        <f>E12/C12</f>
        <v>0</v>
      </c>
      <c r="G12" s="780">
        <f>SUM(G6:G11)</f>
        <v>0</v>
      </c>
      <c r="H12" s="780">
        <f>SUM(H6:H11)</f>
        <v>0</v>
      </c>
      <c r="I12" s="780">
        <f>SUM(I6:I11)</f>
        <v>0</v>
      </c>
      <c r="J12" s="780">
        <f>SUM(J6:J11)</f>
        <v>0</v>
      </c>
      <c r="K12" s="780">
        <f>SUM(K6:K11)</f>
        <v>0</v>
      </c>
      <c r="L12" s="786" t="e">
        <f t="shared" si="0"/>
        <v>#DIV/0!</v>
      </c>
    </row>
    <row r="13" spans="1:5" ht="23.25" customHeight="1">
      <c r="A13" s="1305"/>
      <c r="B13" s="1305"/>
      <c r="C13" s="1305"/>
      <c r="D13" s="781"/>
      <c r="E13" s="781"/>
    </row>
  </sheetData>
  <sheetProtection/>
  <mergeCells count="4">
    <mergeCell ref="A12:B12"/>
    <mergeCell ref="A13:C13"/>
    <mergeCell ref="A2:F2"/>
    <mergeCell ref="C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workbookViewId="0" topLeftCell="A1">
      <selection activeCell="V8" sqref="V8"/>
    </sheetView>
  </sheetViews>
  <sheetFormatPr defaultColWidth="9.140625" defaultRowHeight="12.75"/>
  <cols>
    <col min="1" max="1" width="5.57421875" style="908" customWidth="1"/>
    <col min="2" max="2" width="24.7109375" style="909" customWidth="1"/>
    <col min="3" max="3" width="9.57421875" style="910" bestFit="1" customWidth="1"/>
    <col min="4" max="4" width="11.421875" style="910" customWidth="1"/>
    <col min="5" max="14" width="9.57421875" style="910" bestFit="1" customWidth="1"/>
    <col min="15" max="15" width="9.7109375" style="908" bestFit="1" customWidth="1"/>
    <col min="16" max="17" width="0" style="910" hidden="1" customWidth="1"/>
    <col min="18" max="16384" width="9.140625" style="910" customWidth="1"/>
  </cols>
  <sheetData>
    <row r="1" spans="13:15" ht="15.75">
      <c r="M1" s="1308" t="s">
        <v>446</v>
      </c>
      <c r="N1" s="1308"/>
      <c r="O1" s="1308"/>
    </row>
    <row r="2" spans="1:15" ht="31.5" customHeight="1">
      <c r="A2" s="1309" t="s">
        <v>571</v>
      </c>
      <c r="B2" s="1310"/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  <c r="N2" s="1310"/>
      <c r="O2" s="1310"/>
    </row>
    <row r="3" ht="16.5" thickBot="1">
      <c r="O3" s="911" t="s">
        <v>570</v>
      </c>
    </row>
    <row r="4" spans="1:15" s="908" customFormat="1" ht="35.25" customHeight="1" thickBot="1">
      <c r="A4" s="912" t="s">
        <v>267</v>
      </c>
      <c r="B4" s="913" t="s">
        <v>4</v>
      </c>
      <c r="C4" s="914" t="s">
        <v>459</v>
      </c>
      <c r="D4" s="914" t="s">
        <v>460</v>
      </c>
      <c r="E4" s="914" t="s">
        <v>461</v>
      </c>
      <c r="F4" s="914" t="s">
        <v>462</v>
      </c>
      <c r="G4" s="914" t="s">
        <v>463</v>
      </c>
      <c r="H4" s="914" t="s">
        <v>464</v>
      </c>
      <c r="I4" s="914" t="s">
        <v>465</v>
      </c>
      <c r="J4" s="914" t="s">
        <v>466</v>
      </c>
      <c r="K4" s="914" t="s">
        <v>467</v>
      </c>
      <c r="L4" s="914" t="s">
        <v>468</v>
      </c>
      <c r="M4" s="914" t="s">
        <v>469</v>
      </c>
      <c r="N4" s="914" t="s">
        <v>470</v>
      </c>
      <c r="O4" s="915" t="s">
        <v>22</v>
      </c>
    </row>
    <row r="5" spans="1:15" s="917" customFormat="1" ht="15" customHeight="1" thickBot="1">
      <c r="A5" s="916" t="s">
        <v>30</v>
      </c>
      <c r="B5" s="1311" t="s">
        <v>114</v>
      </c>
      <c r="C5" s="1312"/>
      <c r="D5" s="1312"/>
      <c r="E5" s="1312"/>
      <c r="F5" s="1312"/>
      <c r="G5" s="1312"/>
      <c r="H5" s="1312"/>
      <c r="I5" s="1312"/>
      <c r="J5" s="1312"/>
      <c r="K5" s="1312"/>
      <c r="L5" s="1312"/>
      <c r="M5" s="1312"/>
      <c r="N5" s="1312"/>
      <c r="O5" s="1313"/>
    </row>
    <row r="6" spans="1:16" s="917" customFormat="1" ht="15" customHeight="1">
      <c r="A6" s="918" t="s">
        <v>31</v>
      </c>
      <c r="B6" s="919" t="s">
        <v>471</v>
      </c>
      <c r="C6" s="920"/>
      <c r="D6" s="920"/>
      <c r="E6" s="920">
        <v>65680000</v>
      </c>
      <c r="F6" s="920"/>
      <c r="G6" s="920"/>
      <c r="H6" s="920">
        <v>804653</v>
      </c>
      <c r="I6" s="920"/>
      <c r="J6" s="920"/>
      <c r="K6" s="920"/>
      <c r="L6" s="920"/>
      <c r="M6" s="920"/>
      <c r="N6" s="920">
        <v>65680000</v>
      </c>
      <c r="O6" s="921">
        <f aca="true" t="shared" si="0" ref="O6:O12">SUM(C6:N6)</f>
        <v>132164653</v>
      </c>
      <c r="P6" s="917">
        <v>105070</v>
      </c>
    </row>
    <row r="7" spans="1:19" s="926" customFormat="1" ht="13.5" customHeight="1">
      <c r="A7" s="922" t="s">
        <v>10</v>
      </c>
      <c r="B7" s="923" t="s">
        <v>472</v>
      </c>
      <c r="C7" s="924">
        <v>4320535</v>
      </c>
      <c r="D7" s="924">
        <v>4320536</v>
      </c>
      <c r="E7" s="924">
        <v>4320535</v>
      </c>
      <c r="F7" s="924">
        <v>4320536</v>
      </c>
      <c r="G7" s="924">
        <v>4320535</v>
      </c>
      <c r="H7" s="924">
        <v>4320536</v>
      </c>
      <c r="I7" s="924">
        <v>4320535</v>
      </c>
      <c r="J7" s="924">
        <v>4320536</v>
      </c>
      <c r="K7" s="924">
        <v>4320535</v>
      </c>
      <c r="L7" s="924">
        <v>4320536</v>
      </c>
      <c r="M7" s="924">
        <v>4320535</v>
      </c>
      <c r="N7" s="924">
        <v>4320536</v>
      </c>
      <c r="O7" s="925">
        <f t="shared" si="0"/>
        <v>51846426</v>
      </c>
      <c r="P7" s="926">
        <v>73977</v>
      </c>
      <c r="S7" s="917"/>
    </row>
    <row r="8" spans="1:19" s="926" customFormat="1" ht="27" customHeight="1">
      <c r="A8" s="922" t="s">
        <v>11</v>
      </c>
      <c r="B8" s="927" t="s">
        <v>473</v>
      </c>
      <c r="C8" s="928">
        <f>23250002</f>
        <v>23250002</v>
      </c>
      <c r="D8" s="928">
        <f>23250003</f>
        <v>23250003</v>
      </c>
      <c r="E8" s="928">
        <v>23250003</v>
      </c>
      <c r="F8" s="928">
        <v>23250003</v>
      </c>
      <c r="G8" s="928">
        <v>23250002</v>
      </c>
      <c r="H8" s="928">
        <f>23250003+880387</f>
        <v>24130390</v>
      </c>
      <c r="I8" s="928">
        <v>23250003</v>
      </c>
      <c r="J8" s="928">
        <v>23250003</v>
      </c>
      <c r="K8" s="928">
        <v>23250002</v>
      </c>
      <c r="L8" s="928">
        <v>23250003</v>
      </c>
      <c r="M8" s="928">
        <v>23250003</v>
      </c>
      <c r="N8" s="928">
        <v>23250003</v>
      </c>
      <c r="O8" s="925">
        <f t="shared" si="0"/>
        <v>279880420</v>
      </c>
      <c r="P8" s="926">
        <v>13700</v>
      </c>
      <c r="S8" s="917"/>
    </row>
    <row r="9" spans="1:19" s="926" customFormat="1" ht="21.75" customHeight="1">
      <c r="A9" s="922" t="s">
        <v>12</v>
      </c>
      <c r="B9" s="927" t="s">
        <v>474</v>
      </c>
      <c r="C9" s="928"/>
      <c r="D9" s="928"/>
      <c r="E9" s="928">
        <v>6000000</v>
      </c>
      <c r="F9" s="928"/>
      <c r="G9" s="928"/>
      <c r="H9" s="928"/>
      <c r="I9" s="928"/>
      <c r="J9" s="928"/>
      <c r="K9" s="928"/>
      <c r="L9" s="928"/>
      <c r="M9" s="928"/>
      <c r="N9" s="928"/>
      <c r="O9" s="925">
        <f t="shared" si="0"/>
        <v>6000000</v>
      </c>
      <c r="P9" s="926">
        <v>246945</v>
      </c>
      <c r="S9" s="917"/>
    </row>
    <row r="10" spans="1:16" s="926" customFormat="1" ht="23.25" customHeight="1">
      <c r="A10" s="922" t="s">
        <v>12</v>
      </c>
      <c r="B10" s="923" t="s">
        <v>475</v>
      </c>
      <c r="C10" s="924"/>
      <c r="D10" s="924"/>
      <c r="E10" s="924"/>
      <c r="F10" s="924"/>
      <c r="G10" s="924"/>
      <c r="H10" s="924">
        <v>330000</v>
      </c>
      <c r="I10" s="924"/>
      <c r="J10" s="924"/>
      <c r="K10" s="924"/>
      <c r="L10" s="924"/>
      <c r="M10" s="924"/>
      <c r="N10" s="924">
        <v>30000</v>
      </c>
      <c r="O10" s="925">
        <f t="shared" si="0"/>
        <v>360000</v>
      </c>
      <c r="P10" s="926">
        <v>118427</v>
      </c>
    </row>
    <row r="11" spans="1:16" s="926" customFormat="1" ht="23.25" customHeight="1">
      <c r="A11" s="922" t="s">
        <v>13</v>
      </c>
      <c r="B11" s="923" t="s">
        <v>476</v>
      </c>
      <c r="C11" s="924"/>
      <c r="D11" s="924"/>
      <c r="E11" s="924"/>
      <c r="F11" s="924"/>
      <c r="G11" s="924"/>
      <c r="H11" s="924">
        <v>4115</v>
      </c>
      <c r="I11" s="924"/>
      <c r="J11" s="924"/>
      <c r="K11" s="924"/>
      <c r="L11" s="924"/>
      <c r="M11" s="924"/>
      <c r="N11" s="924"/>
      <c r="O11" s="925">
        <f t="shared" si="0"/>
        <v>4115</v>
      </c>
      <c r="P11" s="926">
        <v>0</v>
      </c>
    </row>
    <row r="12" spans="1:16" s="926" customFormat="1" ht="23.25" customHeight="1" thickBot="1">
      <c r="A12" s="922" t="s">
        <v>14</v>
      </c>
      <c r="B12" s="923" t="s">
        <v>477</v>
      </c>
      <c r="C12" s="924">
        <v>138566684</v>
      </c>
      <c r="D12" s="924"/>
      <c r="E12" s="924"/>
      <c r="F12" s="924"/>
      <c r="G12" s="924">
        <v>8315281</v>
      </c>
      <c r="H12" s="924"/>
      <c r="I12" s="924"/>
      <c r="J12" s="924"/>
      <c r="K12" s="924"/>
      <c r="L12" s="924"/>
      <c r="M12" s="924"/>
      <c r="N12" s="924"/>
      <c r="O12" s="925">
        <f t="shared" si="0"/>
        <v>146881965</v>
      </c>
      <c r="P12" s="926">
        <v>7592</v>
      </c>
    </row>
    <row r="13" spans="1:17" s="917" customFormat="1" ht="15.75" customHeight="1" thickBot="1">
      <c r="A13" s="922" t="s">
        <v>62</v>
      </c>
      <c r="B13" s="929" t="s">
        <v>478</v>
      </c>
      <c r="C13" s="930">
        <f aca="true" t="shared" si="1" ref="C13:O13">SUM(C6:C12)</f>
        <v>166137221</v>
      </c>
      <c r="D13" s="930">
        <f t="shared" si="1"/>
        <v>27570539</v>
      </c>
      <c r="E13" s="930">
        <f t="shared" si="1"/>
        <v>99250538</v>
      </c>
      <c r="F13" s="930">
        <f t="shared" si="1"/>
        <v>27570539</v>
      </c>
      <c r="G13" s="930">
        <f t="shared" si="1"/>
        <v>35885818</v>
      </c>
      <c r="H13" s="930">
        <f t="shared" si="1"/>
        <v>29589694</v>
      </c>
      <c r="I13" s="930">
        <f t="shared" si="1"/>
        <v>27570538</v>
      </c>
      <c r="J13" s="930">
        <f t="shared" si="1"/>
        <v>27570539</v>
      </c>
      <c r="K13" s="930">
        <f t="shared" si="1"/>
        <v>27570537</v>
      </c>
      <c r="L13" s="930">
        <f t="shared" si="1"/>
        <v>27570539</v>
      </c>
      <c r="M13" s="930">
        <f t="shared" si="1"/>
        <v>27570538</v>
      </c>
      <c r="N13" s="930">
        <f t="shared" si="1"/>
        <v>93280539</v>
      </c>
      <c r="O13" s="931">
        <f t="shared" si="1"/>
        <v>617137579</v>
      </c>
      <c r="Q13" s="917">
        <f>SUM(P6:P12)</f>
        <v>565711</v>
      </c>
    </row>
    <row r="14" spans="1:15" s="917" customFormat="1" ht="15" customHeight="1" thickBot="1">
      <c r="A14" s="922" t="s">
        <v>63</v>
      </c>
      <c r="B14" s="1311" t="s">
        <v>141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3"/>
    </row>
    <row r="15" spans="1:19" s="926" customFormat="1" ht="13.5" customHeight="1">
      <c r="A15" s="922" t="s">
        <v>456</v>
      </c>
      <c r="B15" s="927" t="s">
        <v>481</v>
      </c>
      <c r="C15" s="928">
        <f>40341683+181057</f>
        <v>40522740</v>
      </c>
      <c r="D15" s="928">
        <f>40341683</f>
        <v>40341683</v>
      </c>
      <c r="E15" s="928">
        <v>40341684</v>
      </c>
      <c r="F15" s="928">
        <v>40341683</v>
      </c>
      <c r="G15" s="928">
        <v>40341684</v>
      </c>
      <c r="H15" s="928">
        <f>40341683-181057+713253</f>
        <v>40873879</v>
      </c>
      <c r="I15" s="928">
        <v>40341684</v>
      </c>
      <c r="J15" s="928">
        <v>40341683</v>
      </c>
      <c r="K15" s="928">
        <v>40341684</v>
      </c>
      <c r="L15" s="928">
        <v>40341683</v>
      </c>
      <c r="M15" s="928">
        <v>40341684</v>
      </c>
      <c r="N15" s="928">
        <v>40341683</v>
      </c>
      <c r="O15" s="932">
        <f>SUM(C15:N15)</f>
        <v>484813454</v>
      </c>
      <c r="P15" s="926">
        <v>550166</v>
      </c>
      <c r="S15" s="917"/>
    </row>
    <row r="16" spans="1:16" s="926" customFormat="1" ht="27" customHeight="1">
      <c r="A16" s="922" t="s">
        <v>479</v>
      </c>
      <c r="B16" s="923" t="s">
        <v>483</v>
      </c>
      <c r="C16" s="924"/>
      <c r="D16" s="924"/>
      <c r="E16" s="924"/>
      <c r="F16" s="924">
        <v>500000</v>
      </c>
      <c r="G16" s="924">
        <f>8404181+3000000</f>
        <v>11404181</v>
      </c>
      <c r="H16" s="924">
        <v>2326220</v>
      </c>
      <c r="I16" s="924">
        <v>2000000</v>
      </c>
      <c r="J16" s="924">
        <v>1000000</v>
      </c>
      <c r="K16" s="924">
        <v>7000000</v>
      </c>
      <c r="L16" s="924">
        <v>856000</v>
      </c>
      <c r="M16" s="924">
        <v>10000000</v>
      </c>
      <c r="N16" s="924"/>
      <c r="O16" s="925">
        <f>SUM(C16:N16)</f>
        <v>35086401</v>
      </c>
      <c r="P16" s="926">
        <v>124458</v>
      </c>
    </row>
    <row r="17" spans="1:19" s="926" customFormat="1" ht="13.5" customHeight="1">
      <c r="A17" s="922" t="s">
        <v>480</v>
      </c>
      <c r="B17" s="923" t="s">
        <v>485</v>
      </c>
      <c r="C17" s="924"/>
      <c r="D17" s="924"/>
      <c r="E17" s="924"/>
      <c r="F17" s="924"/>
      <c r="G17" s="924"/>
      <c r="H17" s="924"/>
      <c r="I17" s="924"/>
      <c r="J17" s="924"/>
      <c r="K17" s="924"/>
      <c r="L17" s="924"/>
      <c r="M17" s="924"/>
      <c r="N17" s="924">
        <v>59503503</v>
      </c>
      <c r="O17" s="925">
        <f>SUM(C17:N17)</f>
        <v>59503503</v>
      </c>
      <c r="P17" s="926">
        <v>0</v>
      </c>
      <c r="S17" s="917"/>
    </row>
    <row r="18" spans="1:16" s="926" customFormat="1" ht="13.5" customHeight="1" thickBot="1">
      <c r="A18" s="922" t="s">
        <v>482</v>
      </c>
      <c r="B18" s="923" t="s">
        <v>487</v>
      </c>
      <c r="C18" s="924">
        <v>37734221</v>
      </c>
      <c r="D18" s="924"/>
      <c r="E18" s="924"/>
      <c r="F18" s="924"/>
      <c r="G18" s="924"/>
      <c r="H18" s="924"/>
      <c r="I18" s="924"/>
      <c r="J18" s="924"/>
      <c r="K18" s="924"/>
      <c r="L18" s="924"/>
      <c r="M18" s="924"/>
      <c r="N18" s="924"/>
      <c r="O18" s="925">
        <f>SUM(C18:N18)</f>
        <v>37734221</v>
      </c>
      <c r="P18" s="926">
        <v>47140</v>
      </c>
    </row>
    <row r="19" spans="1:17" s="917" customFormat="1" ht="15.75" customHeight="1" thickBot="1">
      <c r="A19" s="922" t="s">
        <v>484</v>
      </c>
      <c r="B19" s="929" t="s">
        <v>488</v>
      </c>
      <c r="C19" s="930">
        <f aca="true" t="shared" si="2" ref="C19:O19">SUM(C15:C18)</f>
        <v>78256961</v>
      </c>
      <c r="D19" s="930">
        <f t="shared" si="2"/>
        <v>40341683</v>
      </c>
      <c r="E19" s="930">
        <f t="shared" si="2"/>
        <v>40341684</v>
      </c>
      <c r="F19" s="930">
        <f t="shared" si="2"/>
        <v>40841683</v>
      </c>
      <c r="G19" s="930">
        <f t="shared" si="2"/>
        <v>51745865</v>
      </c>
      <c r="H19" s="930">
        <f t="shared" si="2"/>
        <v>43200099</v>
      </c>
      <c r="I19" s="930">
        <f t="shared" si="2"/>
        <v>42341684</v>
      </c>
      <c r="J19" s="930">
        <f t="shared" si="2"/>
        <v>41341683</v>
      </c>
      <c r="K19" s="930">
        <f t="shared" si="2"/>
        <v>47341684</v>
      </c>
      <c r="L19" s="930">
        <f t="shared" si="2"/>
        <v>41197683</v>
      </c>
      <c r="M19" s="930">
        <f t="shared" si="2"/>
        <v>50341684</v>
      </c>
      <c r="N19" s="930">
        <f t="shared" si="2"/>
        <v>99845186</v>
      </c>
      <c r="O19" s="931">
        <f t="shared" si="2"/>
        <v>617137579</v>
      </c>
      <c r="Q19" s="917">
        <f>SUM(P15:P18)</f>
        <v>721764</v>
      </c>
    </row>
    <row r="20" spans="1:15" ht="16.5" thickBot="1">
      <c r="A20" s="922" t="s">
        <v>486</v>
      </c>
      <c r="B20" s="933" t="s">
        <v>489</v>
      </c>
      <c r="C20" s="934">
        <f>C13-C19</f>
        <v>87880260</v>
      </c>
      <c r="D20" s="934">
        <f>C13+D13-C19-D19</f>
        <v>75109116</v>
      </c>
      <c r="E20" s="934">
        <f>C13+D13+E13-C19-D19-E19</f>
        <v>134017970</v>
      </c>
      <c r="F20" s="934">
        <f>C13+D13+E13+F13-C19-D19-E19-F19</f>
        <v>120746826</v>
      </c>
      <c r="G20" s="934">
        <f>(SUM(C13:G13))-(SUM(C19:G19))</f>
        <v>104886779</v>
      </c>
      <c r="H20" s="934">
        <f>(SUM(C13:H13))-(SUM(C19:H19))</f>
        <v>91276374</v>
      </c>
      <c r="I20" s="934">
        <f>(SUM(C13:I13))-(SUM(C19:I19))</f>
        <v>76505228</v>
      </c>
      <c r="J20" s="934">
        <f>(SUM(C13:J13))-(SUM(C19:J19))</f>
        <v>62734084</v>
      </c>
      <c r="K20" s="934">
        <f>(SUM(C13:K13))-(SUM(C19:K19))</f>
        <v>42962937</v>
      </c>
      <c r="L20" s="934">
        <f>(SUM(C13:L13))-(SUM(C19:L19))</f>
        <v>29335793</v>
      </c>
      <c r="M20" s="934">
        <f>(SUM(C13:M13))-(SUM(C19:M19))</f>
        <v>6564647</v>
      </c>
      <c r="N20" s="934">
        <f>(SUM(C13:N13))-(SUM(C19:N19))</f>
        <v>0</v>
      </c>
      <c r="O20" s="935">
        <f>O13-O19</f>
        <v>0</v>
      </c>
    </row>
    <row r="21" ht="15.75">
      <c r="A21" s="936"/>
    </row>
    <row r="22" spans="2:4" ht="15.75">
      <c r="B22" s="937"/>
      <c r="C22" s="938"/>
      <c r="D22" s="938"/>
    </row>
  </sheetData>
  <sheetProtection/>
  <mergeCells count="4">
    <mergeCell ref="M1:O1"/>
    <mergeCell ref="A2:O2"/>
    <mergeCell ref="B5:O5"/>
    <mergeCell ref="B14:O14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="60" zoomScalePageLayoutView="0" workbookViewId="0" topLeftCell="A1">
      <selection activeCell="C60" sqref="C60"/>
    </sheetView>
  </sheetViews>
  <sheetFormatPr defaultColWidth="9.140625" defaultRowHeight="12.75"/>
  <cols>
    <col min="1" max="1" width="78.57421875" style="616" customWidth="1"/>
    <col min="2" max="2" width="15.7109375" style="616" customWidth="1"/>
    <col min="3" max="3" width="13.140625" style="616" customWidth="1"/>
    <col min="4" max="4" width="13.28125" style="616" customWidth="1"/>
    <col min="5" max="5" width="12.140625" style="616" hidden="1" customWidth="1"/>
    <col min="6" max="6" width="14.421875" style="616" hidden="1" customWidth="1"/>
    <col min="7" max="7" width="11.57421875" style="616" hidden="1" customWidth="1"/>
    <col min="8" max="12" width="9.140625" style="616" hidden="1" customWidth="1"/>
    <col min="13" max="16384" width="9.140625" style="616" customWidth="1"/>
  </cols>
  <sheetData>
    <row r="1" spans="1:6" ht="21" customHeight="1">
      <c r="A1" s="1314" t="s">
        <v>458</v>
      </c>
      <c r="B1" s="1314"/>
      <c r="C1" s="1314"/>
      <c r="D1" s="1314"/>
      <c r="E1" s="1314"/>
      <c r="F1" s="1314"/>
    </row>
    <row r="2" spans="1:4" s="617" customFormat="1" ht="51.75" customHeight="1">
      <c r="A2" s="1339" t="s">
        <v>581</v>
      </c>
      <c r="B2" s="1339"/>
      <c r="C2" s="1339"/>
      <c r="D2" s="1339"/>
    </row>
    <row r="3" spans="1:6" ht="15.75" customHeight="1" thickBot="1">
      <c r="A3" s="618"/>
      <c r="B3" s="1056" t="s">
        <v>547</v>
      </c>
      <c r="E3" s="619"/>
      <c r="F3" s="678" t="s">
        <v>372</v>
      </c>
    </row>
    <row r="4" spans="1:12" s="622" customFormat="1" ht="24" customHeight="1" thickBot="1">
      <c r="A4" s="620" t="s">
        <v>270</v>
      </c>
      <c r="B4" s="640" t="s">
        <v>271</v>
      </c>
      <c r="C4" s="640" t="s">
        <v>240</v>
      </c>
      <c r="D4" s="640" t="s">
        <v>245</v>
      </c>
      <c r="E4" s="621" t="s">
        <v>451</v>
      </c>
      <c r="F4" s="640" t="s">
        <v>452</v>
      </c>
      <c r="G4" s="640" t="s">
        <v>248</v>
      </c>
      <c r="H4" s="640" t="s">
        <v>245</v>
      </c>
      <c r="I4" s="640" t="s">
        <v>248</v>
      </c>
      <c r="J4" s="640" t="s">
        <v>526</v>
      </c>
      <c r="K4" s="640" t="s">
        <v>535</v>
      </c>
      <c r="L4" s="640" t="s">
        <v>518</v>
      </c>
    </row>
    <row r="5" spans="1:12" s="624" customFormat="1" ht="21" customHeight="1">
      <c r="A5" s="623" t="s">
        <v>272</v>
      </c>
      <c r="B5" s="641">
        <v>73315221</v>
      </c>
      <c r="C5" s="641">
        <v>73315221</v>
      </c>
      <c r="D5" s="641">
        <v>73315221</v>
      </c>
      <c r="E5" s="1315"/>
      <c r="F5" s="1328"/>
      <c r="G5" s="641"/>
      <c r="H5" s="641"/>
      <c r="I5" s="641"/>
      <c r="J5" s="641"/>
      <c r="K5" s="641"/>
      <c r="L5" s="984" t="e">
        <f>J5/I5</f>
        <v>#DIV/0!</v>
      </c>
    </row>
    <row r="6" spans="1:12" s="624" customFormat="1" ht="21" customHeight="1">
      <c r="A6" s="625" t="s">
        <v>273</v>
      </c>
      <c r="B6" s="642">
        <v>0</v>
      </c>
      <c r="C6" s="642">
        <v>0</v>
      </c>
      <c r="D6" s="642">
        <v>0</v>
      </c>
      <c r="E6" s="1316"/>
      <c r="F6" s="1329"/>
      <c r="G6" s="642">
        <v>0</v>
      </c>
      <c r="H6" s="642">
        <v>0</v>
      </c>
      <c r="I6" s="642">
        <v>0</v>
      </c>
      <c r="J6" s="642">
        <v>0</v>
      </c>
      <c r="K6" s="642">
        <v>0</v>
      </c>
      <c r="L6" s="1331"/>
    </row>
    <row r="7" spans="1:12" s="624" customFormat="1" ht="21" customHeight="1">
      <c r="A7" s="625" t="s">
        <v>274</v>
      </c>
      <c r="B7" s="642">
        <v>0</v>
      </c>
      <c r="C7" s="642">
        <v>0</v>
      </c>
      <c r="D7" s="642">
        <v>0</v>
      </c>
      <c r="E7" s="1316"/>
      <c r="F7" s="1329"/>
      <c r="G7" s="642">
        <v>0</v>
      </c>
      <c r="H7" s="642">
        <v>0</v>
      </c>
      <c r="I7" s="642">
        <v>0</v>
      </c>
      <c r="J7" s="642">
        <v>0</v>
      </c>
      <c r="K7" s="642">
        <v>0</v>
      </c>
      <c r="L7" s="1332"/>
    </row>
    <row r="8" spans="1:12" s="624" customFormat="1" ht="21" customHeight="1">
      <c r="A8" s="625" t="s">
        <v>275</v>
      </c>
      <c r="B8" s="642">
        <v>0</v>
      </c>
      <c r="C8" s="642">
        <v>0</v>
      </c>
      <c r="D8" s="642">
        <v>0</v>
      </c>
      <c r="E8" s="1316"/>
      <c r="F8" s="1329"/>
      <c r="G8" s="642">
        <v>0</v>
      </c>
      <c r="H8" s="642">
        <v>0</v>
      </c>
      <c r="I8" s="642">
        <v>0</v>
      </c>
      <c r="J8" s="642">
        <v>0</v>
      </c>
      <c r="K8" s="642">
        <v>0</v>
      </c>
      <c r="L8" s="1332"/>
    </row>
    <row r="9" spans="1:12" s="624" customFormat="1" ht="21" customHeight="1">
      <c r="A9" s="626" t="s">
        <v>276</v>
      </c>
      <c r="B9" s="642">
        <v>0</v>
      </c>
      <c r="C9" s="642">
        <v>0</v>
      </c>
      <c r="D9" s="642">
        <v>0</v>
      </c>
      <c r="E9" s="1316"/>
      <c r="F9" s="1329"/>
      <c r="G9" s="642">
        <v>0</v>
      </c>
      <c r="H9" s="642">
        <v>0</v>
      </c>
      <c r="I9" s="642">
        <v>0</v>
      </c>
      <c r="J9" s="642">
        <v>0</v>
      </c>
      <c r="K9" s="642">
        <v>0</v>
      </c>
      <c r="L9" s="1332"/>
    </row>
    <row r="10" spans="1:12" s="624" customFormat="1" ht="21" customHeight="1">
      <c r="A10" s="623" t="s">
        <v>277</v>
      </c>
      <c r="B10" s="643">
        <f>SUM(B6:B9)</f>
        <v>0</v>
      </c>
      <c r="C10" s="643">
        <f>SUM(C6:C9)</f>
        <v>0</v>
      </c>
      <c r="D10" s="643">
        <f>SUM(D6:D9)</f>
        <v>0</v>
      </c>
      <c r="E10" s="1316"/>
      <c r="F10" s="1329"/>
      <c r="G10" s="643">
        <f>SUM(G6:G9)</f>
        <v>0</v>
      </c>
      <c r="H10" s="643">
        <f>SUM(H6:H9)</f>
        <v>0</v>
      </c>
      <c r="I10" s="643">
        <f>SUM(I6:I9)</f>
        <v>0</v>
      </c>
      <c r="J10" s="643">
        <f>SUM(J6:J9)</f>
        <v>0</v>
      </c>
      <c r="K10" s="643">
        <f>SUM(K6:K9)</f>
        <v>0</v>
      </c>
      <c r="L10" s="1332"/>
    </row>
    <row r="11" spans="1:12" s="624" customFormat="1" ht="21" customHeight="1" hidden="1">
      <c r="A11" s="627" t="s">
        <v>278</v>
      </c>
      <c r="B11" s="643"/>
      <c r="C11" s="643"/>
      <c r="D11" s="643"/>
      <c r="E11" s="1316"/>
      <c r="F11" s="1329"/>
      <c r="G11" s="643"/>
      <c r="H11" s="643"/>
      <c r="I11" s="643"/>
      <c r="J11" s="643"/>
      <c r="K11" s="643"/>
      <c r="L11" s="1332"/>
    </row>
    <row r="12" spans="1:12" s="624" customFormat="1" ht="21" customHeight="1">
      <c r="A12" s="623" t="s">
        <v>365</v>
      </c>
      <c r="B12" s="643">
        <v>0</v>
      </c>
      <c r="C12" s="643">
        <v>0</v>
      </c>
      <c r="D12" s="643">
        <v>0</v>
      </c>
      <c r="E12" s="1316"/>
      <c r="F12" s="1329"/>
      <c r="G12" s="643"/>
      <c r="H12" s="643">
        <v>0</v>
      </c>
      <c r="I12" s="643">
        <v>0</v>
      </c>
      <c r="J12" s="643">
        <v>0</v>
      </c>
      <c r="K12" s="643">
        <v>0</v>
      </c>
      <c r="L12" s="1332"/>
    </row>
    <row r="13" spans="1:12" s="624" customFormat="1" ht="21" customHeight="1" hidden="1" thickBot="1">
      <c r="A13" s="623" t="s">
        <v>282</v>
      </c>
      <c r="B13" s="677">
        <v>0</v>
      </c>
      <c r="C13" s="677">
        <v>0</v>
      </c>
      <c r="D13" s="677">
        <v>0</v>
      </c>
      <c r="E13" s="1317"/>
      <c r="F13" s="1330"/>
      <c r="G13" s="677"/>
      <c r="H13" s="677">
        <v>0</v>
      </c>
      <c r="I13" s="677">
        <v>0</v>
      </c>
      <c r="J13" s="677">
        <v>0</v>
      </c>
      <c r="K13" s="677">
        <v>0</v>
      </c>
      <c r="L13" s="1333"/>
    </row>
    <row r="14" spans="1:12" s="624" customFormat="1" ht="21" customHeight="1" thickBot="1">
      <c r="A14" s="1050" t="s">
        <v>506</v>
      </c>
      <c r="B14" s="955">
        <v>559943</v>
      </c>
      <c r="C14" s="955">
        <v>559943</v>
      </c>
      <c r="D14" s="955">
        <v>559943</v>
      </c>
      <c r="E14" s="951"/>
      <c r="F14" s="954"/>
      <c r="G14" s="955"/>
      <c r="H14" s="955"/>
      <c r="I14" s="955"/>
      <c r="J14" s="955"/>
      <c r="K14" s="955"/>
      <c r="L14" s="985" t="e">
        <f>J14/I14</f>
        <v>#DIV/0!</v>
      </c>
    </row>
    <row r="15" spans="1:12" s="630" customFormat="1" ht="24.75" customHeight="1" thickBot="1">
      <c r="A15" s="629" t="s">
        <v>364</v>
      </c>
      <c r="B15" s="644">
        <f>B5+B10-B11+B12+B13+B14</f>
        <v>73875164</v>
      </c>
      <c r="C15" s="644">
        <f>C5+C10-C11+C12+C13+C14</f>
        <v>73875164</v>
      </c>
      <c r="D15" s="644">
        <f>D5+D10-D11+D12+D13+D14</f>
        <v>73875164</v>
      </c>
      <c r="E15" s="644">
        <v>49269</v>
      </c>
      <c r="F15" s="787">
        <f>E15/D15</f>
        <v>0.000666922377322912</v>
      </c>
      <c r="G15" s="644">
        <f>G5+G10-G11+G12+G13</f>
        <v>0</v>
      </c>
      <c r="H15" s="644">
        <f>H5+H10-H11+H12+H13+H14</f>
        <v>0</v>
      </c>
      <c r="I15" s="644">
        <f>I5+I10-I11+I12+I13+I14</f>
        <v>0</v>
      </c>
      <c r="J15" s="644">
        <f>J5+J10-J11+J12+J13+J14</f>
        <v>0</v>
      </c>
      <c r="K15" s="644">
        <f>K5+K10-K11+K12+K13+K14</f>
        <v>0</v>
      </c>
      <c r="L15" s="986" t="e">
        <f>J15/I15</f>
        <v>#DIV/0!</v>
      </c>
    </row>
    <row r="16" spans="1:12" ht="24.75" customHeight="1">
      <c r="A16" s="631" t="s">
        <v>279</v>
      </c>
      <c r="B16" s="641">
        <v>32185000</v>
      </c>
      <c r="C16" s="641">
        <v>32185000</v>
      </c>
      <c r="D16" s="641">
        <v>32185000</v>
      </c>
      <c r="E16" s="1324"/>
      <c r="F16" s="1326"/>
      <c r="G16" s="641"/>
      <c r="H16" s="641"/>
      <c r="I16" s="641"/>
      <c r="J16" s="641"/>
      <c r="K16" s="641"/>
      <c r="L16" s="1334"/>
    </row>
    <row r="17" spans="1:12" ht="24.75" customHeight="1" thickBot="1">
      <c r="A17" s="627" t="s">
        <v>280</v>
      </c>
      <c r="B17" s="643">
        <v>4560000</v>
      </c>
      <c r="C17" s="643">
        <v>4560000</v>
      </c>
      <c r="D17" s="643">
        <v>4560000</v>
      </c>
      <c r="E17" s="1325"/>
      <c r="F17" s="1327"/>
      <c r="G17" s="643"/>
      <c r="H17" s="643"/>
      <c r="I17" s="643"/>
      <c r="J17" s="643"/>
      <c r="K17" s="643"/>
      <c r="L17" s="1335"/>
    </row>
    <row r="18" spans="1:12" s="630" customFormat="1" ht="24.75" customHeight="1" thickBot="1">
      <c r="A18" s="632" t="s">
        <v>366</v>
      </c>
      <c r="B18" s="645">
        <f>SUM(B16:B17)</f>
        <v>36745000</v>
      </c>
      <c r="C18" s="645">
        <f>SUM(C16:C17)</f>
        <v>36745000</v>
      </c>
      <c r="D18" s="645">
        <f>SUM(D16:D17)</f>
        <v>36745000</v>
      </c>
      <c r="E18" s="879">
        <v>21485</v>
      </c>
      <c r="F18" s="788">
        <f>E18/D18</f>
        <v>0.0005847054020955233</v>
      </c>
      <c r="G18" s="645">
        <f>SUM(G16:G17)</f>
        <v>0</v>
      </c>
      <c r="H18" s="645">
        <f>SUM(H16:H17)</f>
        <v>0</v>
      </c>
      <c r="I18" s="645">
        <f>SUM(I16:I17)</f>
        <v>0</v>
      </c>
      <c r="J18" s="645">
        <f>SUM(J16:J17)</f>
        <v>0</v>
      </c>
      <c r="K18" s="645">
        <f>SUM(K16:K17)</f>
        <v>0</v>
      </c>
      <c r="L18" s="987" t="e">
        <f>J18/I18</f>
        <v>#DIV/0!</v>
      </c>
    </row>
    <row r="19" spans="1:12" ht="24.75" customHeight="1">
      <c r="A19" s="633" t="s">
        <v>281</v>
      </c>
      <c r="B19" s="646">
        <v>0</v>
      </c>
      <c r="C19" s="646">
        <v>0</v>
      </c>
      <c r="D19" s="646">
        <v>0</v>
      </c>
      <c r="E19" s="646"/>
      <c r="F19" s="789"/>
      <c r="G19" s="646"/>
      <c r="H19" s="646"/>
      <c r="I19" s="646"/>
      <c r="J19" s="646"/>
      <c r="K19" s="646"/>
      <c r="L19" s="1336"/>
    </row>
    <row r="20" spans="1:12" ht="24.75" customHeight="1">
      <c r="A20" s="625" t="s">
        <v>572</v>
      </c>
      <c r="B20" s="647">
        <v>21000000</v>
      </c>
      <c r="C20" s="647">
        <v>21000000</v>
      </c>
      <c r="D20" s="647">
        <v>21000000</v>
      </c>
      <c r="E20" s="1318"/>
      <c r="F20" s="1321"/>
      <c r="G20" s="647"/>
      <c r="H20" s="647"/>
      <c r="I20" s="647"/>
      <c r="J20" s="647"/>
      <c r="K20" s="647"/>
      <c r="L20" s="1337"/>
    </row>
    <row r="21" spans="1:12" ht="24.75" customHeight="1" hidden="1">
      <c r="A21" s="626" t="s">
        <v>283</v>
      </c>
      <c r="B21" s="647"/>
      <c r="C21" s="647"/>
      <c r="D21" s="647"/>
      <c r="E21" s="1319"/>
      <c r="F21" s="1322"/>
      <c r="G21" s="647"/>
      <c r="H21" s="647"/>
      <c r="I21" s="647"/>
      <c r="J21" s="647"/>
      <c r="K21" s="647"/>
      <c r="L21" s="1337"/>
    </row>
    <row r="22" spans="1:12" ht="24.75" customHeight="1">
      <c r="A22" s="625" t="s">
        <v>573</v>
      </c>
      <c r="B22" s="647">
        <v>19060448</v>
      </c>
      <c r="C22" s="647">
        <v>19060448</v>
      </c>
      <c r="D22" s="647">
        <v>19060448</v>
      </c>
      <c r="E22" s="1319"/>
      <c r="F22" s="1322"/>
      <c r="G22" s="647"/>
      <c r="H22" s="647"/>
      <c r="I22" s="647"/>
      <c r="J22" s="647"/>
      <c r="K22" s="647"/>
      <c r="L22" s="1337"/>
    </row>
    <row r="23" spans="1:12" ht="24.75" customHeight="1">
      <c r="A23" s="625" t="s">
        <v>574</v>
      </c>
      <c r="B23" s="647">
        <v>48633000</v>
      </c>
      <c r="C23" s="647">
        <v>48633000</v>
      </c>
      <c r="D23" s="647">
        <v>48633000</v>
      </c>
      <c r="E23" s="1319"/>
      <c r="F23" s="1322"/>
      <c r="G23" s="647"/>
      <c r="H23" s="647"/>
      <c r="I23" s="647"/>
      <c r="J23" s="647"/>
      <c r="K23" s="647"/>
      <c r="L23" s="1337"/>
    </row>
    <row r="24" spans="1:12" ht="24.75" customHeight="1">
      <c r="A24" s="626" t="s">
        <v>576</v>
      </c>
      <c r="B24" s="647">
        <v>9413820</v>
      </c>
      <c r="C24" s="647">
        <v>9413820</v>
      </c>
      <c r="D24" s="647">
        <v>9413820</v>
      </c>
      <c r="E24" s="1319"/>
      <c r="F24" s="1322"/>
      <c r="G24" s="647"/>
      <c r="H24" s="647"/>
      <c r="I24" s="647"/>
      <c r="J24" s="647"/>
      <c r="K24" s="647"/>
      <c r="L24" s="1337"/>
    </row>
    <row r="25" spans="1:12" ht="24.75" customHeight="1">
      <c r="A25" s="626" t="s">
        <v>575</v>
      </c>
      <c r="B25" s="647">
        <v>2125500</v>
      </c>
      <c r="C25" s="647">
        <v>2125500</v>
      </c>
      <c r="D25" s="647">
        <v>2125500</v>
      </c>
      <c r="E25" s="1319"/>
      <c r="F25" s="1322"/>
      <c r="G25" s="647"/>
      <c r="H25" s="647"/>
      <c r="I25" s="647"/>
      <c r="J25" s="647"/>
      <c r="K25" s="647"/>
      <c r="L25" s="1337"/>
    </row>
    <row r="26" spans="1:12" s="634" customFormat="1" ht="24.75" customHeight="1">
      <c r="A26" s="672" t="s">
        <v>284</v>
      </c>
      <c r="B26" s="673">
        <f>SUM(B20,B22:B25)</f>
        <v>100232768</v>
      </c>
      <c r="C26" s="673">
        <f>SUM(C20,C22:C25)</f>
        <v>100232768</v>
      </c>
      <c r="D26" s="673">
        <f>SUM(D20,D22:D25)</f>
        <v>100232768</v>
      </c>
      <c r="E26" s="1319"/>
      <c r="F26" s="1322"/>
      <c r="G26" s="673">
        <f>SUM(G20,G22:G24)</f>
        <v>0</v>
      </c>
      <c r="H26" s="673">
        <f>SUM(H20,H22:H24)</f>
        <v>0</v>
      </c>
      <c r="I26" s="673">
        <f>SUM(I20,I22:I24)</f>
        <v>0</v>
      </c>
      <c r="J26" s="673">
        <f>SUM(J20,J22:J24)</f>
        <v>0</v>
      </c>
      <c r="K26" s="673">
        <f>SUM(K20,K22:K24)</f>
        <v>0</v>
      </c>
      <c r="L26" s="1337"/>
    </row>
    <row r="27" spans="1:12" s="634" customFormat="1" ht="24.75" customHeight="1">
      <c r="A27" s="674" t="s">
        <v>369</v>
      </c>
      <c r="B27" s="647">
        <v>11962560</v>
      </c>
      <c r="C27" s="647">
        <v>11962560</v>
      </c>
      <c r="D27" s="647">
        <v>11962560</v>
      </c>
      <c r="E27" s="1319"/>
      <c r="F27" s="1322"/>
      <c r="G27" s="647"/>
      <c r="H27" s="647"/>
      <c r="I27" s="647"/>
      <c r="J27" s="647"/>
      <c r="K27" s="647"/>
      <c r="L27" s="1337"/>
    </row>
    <row r="28" spans="1:12" s="634" customFormat="1" ht="24.75" customHeight="1">
      <c r="A28" s="674" t="s">
        <v>368</v>
      </c>
      <c r="B28" s="647">
        <v>2987688</v>
      </c>
      <c r="C28" s="647">
        <v>2987688</v>
      </c>
      <c r="D28" s="647">
        <v>2987688</v>
      </c>
      <c r="E28" s="1319"/>
      <c r="F28" s="1322"/>
      <c r="G28" s="647"/>
      <c r="H28" s="647"/>
      <c r="I28" s="647"/>
      <c r="J28" s="647"/>
      <c r="K28" s="647"/>
      <c r="L28" s="1337"/>
    </row>
    <row r="29" spans="1:12" s="634" customFormat="1" ht="24.75" customHeight="1">
      <c r="A29" s="1051" t="s">
        <v>577</v>
      </c>
      <c r="B29" s="1052">
        <v>644670</v>
      </c>
      <c r="C29" s="1052">
        <v>644670</v>
      </c>
      <c r="D29" s="1052">
        <v>644670</v>
      </c>
      <c r="E29" s="1319"/>
      <c r="F29" s="1322"/>
      <c r="G29" s="1052"/>
      <c r="H29" s="1052"/>
      <c r="I29" s="1052"/>
      <c r="J29" s="1052"/>
      <c r="K29" s="1052"/>
      <c r="L29" s="1337"/>
    </row>
    <row r="30" spans="1:12" s="634" customFormat="1" ht="24.75" customHeight="1" thickBot="1">
      <c r="A30" s="675" t="s">
        <v>367</v>
      </c>
      <c r="B30" s="676">
        <f>SUM(B27:B29)</f>
        <v>15594918</v>
      </c>
      <c r="C30" s="676">
        <f>SUM(C27:C29)</f>
        <v>15594918</v>
      </c>
      <c r="D30" s="676">
        <f>SUM(D27:D29)</f>
        <v>15594918</v>
      </c>
      <c r="E30" s="1320"/>
      <c r="F30" s="1323"/>
      <c r="G30" s="676">
        <f>SUM(G27:G28)</f>
        <v>0</v>
      </c>
      <c r="H30" s="676">
        <f>SUM(H27:H28)</f>
        <v>0</v>
      </c>
      <c r="I30" s="676">
        <f>SUM(I27:I28)</f>
        <v>0</v>
      </c>
      <c r="J30" s="676">
        <f>SUM(J27:J28)</f>
        <v>0</v>
      </c>
      <c r="K30" s="676">
        <f>SUM(K27:K28)</f>
        <v>0</v>
      </c>
      <c r="L30" s="1337"/>
    </row>
    <row r="31" spans="1:12" s="634" customFormat="1" ht="24.75" customHeight="1" thickBot="1">
      <c r="A31" s="956" t="s">
        <v>507</v>
      </c>
      <c r="B31" s="957"/>
      <c r="C31" s="957">
        <v>1608864</v>
      </c>
      <c r="D31" s="957">
        <f>1608864+2014678</f>
        <v>3623542</v>
      </c>
      <c r="E31" s="952"/>
      <c r="F31" s="953"/>
      <c r="G31" s="957"/>
      <c r="H31" s="957"/>
      <c r="I31" s="957"/>
      <c r="J31" s="957"/>
      <c r="K31" s="957"/>
      <c r="L31" s="1338"/>
    </row>
    <row r="32" spans="1:12" s="634" customFormat="1" ht="24.75" customHeight="1" thickBot="1">
      <c r="A32" s="956" t="s">
        <v>588</v>
      </c>
      <c r="B32" s="957"/>
      <c r="C32" s="957">
        <f>770255+709443</f>
        <v>1479698</v>
      </c>
      <c r="D32" s="957">
        <f>1479698+2935279</f>
        <v>4414977</v>
      </c>
      <c r="E32" s="952"/>
      <c r="F32" s="953"/>
      <c r="G32" s="957"/>
      <c r="H32" s="957"/>
      <c r="I32" s="957"/>
      <c r="J32" s="957"/>
      <c r="K32" s="957"/>
      <c r="L32" s="1057"/>
    </row>
    <row r="33" spans="1:12" s="635" customFormat="1" ht="24.75" customHeight="1" thickBot="1">
      <c r="A33" s="632" t="s">
        <v>370</v>
      </c>
      <c r="B33" s="645">
        <f>B19+B26+B30</f>
        <v>115827686</v>
      </c>
      <c r="C33" s="645">
        <f>C19+C26+C30+C31+C32</f>
        <v>118916248</v>
      </c>
      <c r="D33" s="645">
        <f>D19+D26+D30+D31+D32</f>
        <v>123866205</v>
      </c>
      <c r="E33" s="645">
        <v>62369</v>
      </c>
      <c r="F33" s="790">
        <f>E33/D33</f>
        <v>0.0005035190994993348</v>
      </c>
      <c r="G33" s="645">
        <f>G19+G26+G30</f>
        <v>0</v>
      </c>
      <c r="H33" s="645">
        <f>H19+H26+H30+H31</f>
        <v>0</v>
      </c>
      <c r="I33" s="645">
        <f>I19+I26+I30+I31</f>
        <v>0</v>
      </c>
      <c r="J33" s="645">
        <f>J19+J26+J30+J31</f>
        <v>0</v>
      </c>
      <c r="K33" s="645">
        <f>K19+K26+K30+K31</f>
        <v>0</v>
      </c>
      <c r="L33" s="987" t="e">
        <f>J33/I33</f>
        <v>#DIV/0!</v>
      </c>
    </row>
    <row r="34" spans="1:12" s="634" customFormat="1" ht="24.75" customHeight="1" thickBot="1">
      <c r="A34" s="636" t="s">
        <v>371</v>
      </c>
      <c r="B34" s="648">
        <v>3056340</v>
      </c>
      <c r="C34" s="648">
        <v>3056340</v>
      </c>
      <c r="D34" s="648">
        <v>3056340</v>
      </c>
      <c r="E34" s="648"/>
      <c r="F34" s="791"/>
      <c r="G34" s="648"/>
      <c r="H34" s="648"/>
      <c r="I34" s="648"/>
      <c r="J34" s="648"/>
      <c r="K34" s="648"/>
      <c r="L34" s="988" t="e">
        <f>J34/I34</f>
        <v>#DIV/0!</v>
      </c>
    </row>
    <row r="35" spans="1:12" ht="24.75" customHeight="1" hidden="1">
      <c r="A35" s="627" t="s">
        <v>285</v>
      </c>
      <c r="B35" s="649"/>
      <c r="C35" s="649"/>
      <c r="D35" s="649"/>
      <c r="E35" s="649"/>
      <c r="F35" s="792"/>
      <c r="G35" s="649"/>
      <c r="H35" s="649"/>
      <c r="I35" s="649"/>
      <c r="J35" s="649"/>
      <c r="K35" s="649"/>
      <c r="L35" s="989"/>
    </row>
    <row r="36" spans="1:12" ht="24.75" customHeight="1" hidden="1">
      <c r="A36" s="628" t="s">
        <v>379</v>
      </c>
      <c r="B36" s="650"/>
      <c r="C36" s="650"/>
      <c r="D36" s="650"/>
      <c r="E36" s="877"/>
      <c r="F36" s="878"/>
      <c r="G36" s="877"/>
      <c r="H36" s="650"/>
      <c r="I36" s="650"/>
      <c r="J36" s="650"/>
      <c r="K36" s="650"/>
      <c r="L36" s="990"/>
    </row>
    <row r="37" spans="1:12" ht="24.75" customHeight="1">
      <c r="A37" s="1053" t="s">
        <v>578</v>
      </c>
      <c r="B37" s="877">
        <v>2000000</v>
      </c>
      <c r="C37" s="877">
        <v>2000000</v>
      </c>
      <c r="D37" s="877">
        <v>2000000</v>
      </c>
      <c r="E37" s="877"/>
      <c r="F37" s="878"/>
      <c r="G37" s="877"/>
      <c r="H37" s="650"/>
      <c r="I37" s="650"/>
      <c r="J37" s="650"/>
      <c r="K37" s="650"/>
      <c r="L37" s="990"/>
    </row>
    <row r="38" spans="1:12" ht="33.75" customHeight="1">
      <c r="A38" s="1054" t="s">
        <v>579</v>
      </c>
      <c r="B38" s="877">
        <v>6000000</v>
      </c>
      <c r="C38" s="877">
        <v>6000000</v>
      </c>
      <c r="D38" s="877">
        <v>6000000</v>
      </c>
      <c r="E38" s="877"/>
      <c r="F38" s="878"/>
      <c r="G38" s="877"/>
      <c r="H38" s="650"/>
      <c r="I38" s="650"/>
      <c r="J38" s="650"/>
      <c r="K38" s="650"/>
      <c r="L38" s="990"/>
    </row>
    <row r="39" spans="1:12" ht="24.75" customHeight="1">
      <c r="A39" s="628" t="s">
        <v>580</v>
      </c>
      <c r="B39" s="650">
        <f>SUM(B37:B38)</f>
        <v>8000000</v>
      </c>
      <c r="C39" s="650">
        <f>SUM(C37:C38)</f>
        <v>8000000</v>
      </c>
      <c r="D39" s="650">
        <f>SUM(D37:D38)</f>
        <v>8000000</v>
      </c>
      <c r="E39" s="877"/>
      <c r="F39" s="878"/>
      <c r="G39" s="877"/>
      <c r="H39" s="650"/>
      <c r="I39" s="650"/>
      <c r="J39" s="650"/>
      <c r="K39" s="650"/>
      <c r="L39" s="990"/>
    </row>
    <row r="40" spans="1:12" ht="24.75" customHeight="1">
      <c r="A40" s="628" t="s">
        <v>601</v>
      </c>
      <c r="B40" s="650"/>
      <c r="C40" s="650"/>
      <c r="D40" s="650">
        <v>3399025</v>
      </c>
      <c r="E40" s="877"/>
      <c r="F40" s="878"/>
      <c r="G40" s="877"/>
      <c r="H40" s="650"/>
      <c r="I40" s="650"/>
      <c r="J40" s="650"/>
      <c r="K40" s="650"/>
      <c r="L40" s="990" t="e">
        <f>J40/I40</f>
        <v>#DIV/0!</v>
      </c>
    </row>
    <row r="41" spans="1:12" ht="24.75" customHeight="1" hidden="1">
      <c r="A41" s="628" t="s">
        <v>378</v>
      </c>
      <c r="B41" s="650"/>
      <c r="C41" s="650"/>
      <c r="D41" s="650"/>
      <c r="E41" s="877"/>
      <c r="F41" s="878"/>
      <c r="G41" s="877"/>
      <c r="H41" s="650"/>
      <c r="I41" s="650"/>
      <c r="J41" s="650"/>
      <c r="K41" s="650"/>
      <c r="L41" s="990"/>
    </row>
    <row r="42" spans="1:12" ht="24.75" customHeight="1" hidden="1">
      <c r="A42" s="628" t="s">
        <v>377</v>
      </c>
      <c r="B42" s="650"/>
      <c r="C42" s="650"/>
      <c r="D42" s="650"/>
      <c r="E42" s="877"/>
      <c r="F42" s="878"/>
      <c r="G42" s="877"/>
      <c r="H42" s="650"/>
      <c r="I42" s="650"/>
      <c r="J42" s="650"/>
      <c r="K42" s="650"/>
      <c r="L42" s="990"/>
    </row>
    <row r="43" spans="1:12" ht="24.75" customHeight="1" hidden="1">
      <c r="A43" s="628" t="s">
        <v>376</v>
      </c>
      <c r="B43" s="650"/>
      <c r="C43" s="650"/>
      <c r="D43" s="650"/>
      <c r="E43" s="877"/>
      <c r="F43" s="878"/>
      <c r="G43" s="877"/>
      <c r="H43" s="650"/>
      <c r="I43" s="650"/>
      <c r="J43" s="650"/>
      <c r="K43" s="650"/>
      <c r="L43" s="990"/>
    </row>
    <row r="44" spans="1:12" ht="24.75" customHeight="1" hidden="1">
      <c r="A44" s="628" t="s">
        <v>380</v>
      </c>
      <c r="B44" s="650"/>
      <c r="C44" s="650"/>
      <c r="D44" s="650"/>
      <c r="E44" s="877"/>
      <c r="F44" s="878"/>
      <c r="G44" s="877"/>
      <c r="H44" s="650"/>
      <c r="I44" s="650"/>
      <c r="J44" s="650"/>
      <c r="K44" s="650"/>
      <c r="L44" s="990"/>
    </row>
    <row r="45" spans="1:12" ht="24.75" customHeight="1" hidden="1">
      <c r="A45" s="628" t="s">
        <v>525</v>
      </c>
      <c r="B45" s="650"/>
      <c r="C45" s="650"/>
      <c r="D45" s="650"/>
      <c r="E45" s="877"/>
      <c r="F45" s="878"/>
      <c r="G45" s="877"/>
      <c r="H45" s="650"/>
      <c r="I45" s="650"/>
      <c r="J45" s="650"/>
      <c r="K45" s="650"/>
      <c r="L45" s="990" t="e">
        <f>J45/I45</f>
        <v>#DIV/0!</v>
      </c>
    </row>
    <row r="46" spans="1:12" ht="24.75" customHeight="1" hidden="1">
      <c r="A46" s="628" t="s">
        <v>524</v>
      </c>
      <c r="B46" s="650"/>
      <c r="C46" s="650"/>
      <c r="D46" s="650"/>
      <c r="E46" s="877"/>
      <c r="F46" s="878"/>
      <c r="G46" s="877"/>
      <c r="H46" s="650"/>
      <c r="I46" s="650"/>
      <c r="J46" s="650"/>
      <c r="K46" s="650"/>
      <c r="L46" s="990" t="e">
        <f>J46/I46</f>
        <v>#DIV/0!</v>
      </c>
    </row>
    <row r="47" spans="1:12" ht="24.75" customHeight="1" hidden="1">
      <c r="A47" s="628" t="s">
        <v>529</v>
      </c>
      <c r="B47" s="650"/>
      <c r="C47" s="650"/>
      <c r="D47" s="650"/>
      <c r="E47" s="880"/>
      <c r="F47" s="881"/>
      <c r="G47" s="877"/>
      <c r="H47" s="650"/>
      <c r="I47" s="650"/>
      <c r="J47" s="650"/>
      <c r="K47" s="650"/>
      <c r="L47" s="990"/>
    </row>
    <row r="48" spans="1:12" ht="24.75" customHeight="1" hidden="1">
      <c r="A48" s="628" t="s">
        <v>541</v>
      </c>
      <c r="B48" s="650"/>
      <c r="C48" s="650"/>
      <c r="D48" s="650"/>
      <c r="E48" s="877"/>
      <c r="F48" s="939"/>
      <c r="G48" s="877"/>
      <c r="H48" s="650"/>
      <c r="I48" s="650"/>
      <c r="J48" s="650"/>
      <c r="K48" s="650"/>
      <c r="L48" s="990"/>
    </row>
    <row r="49" spans="1:12" ht="24.75" customHeight="1" hidden="1">
      <c r="A49" s="628" t="s">
        <v>540</v>
      </c>
      <c r="B49" s="650"/>
      <c r="C49" s="650"/>
      <c r="D49" s="650"/>
      <c r="E49" s="877"/>
      <c r="F49" s="939"/>
      <c r="G49" s="877"/>
      <c r="H49" s="650"/>
      <c r="I49" s="650"/>
      <c r="J49" s="650"/>
      <c r="K49" s="650"/>
      <c r="L49" s="990"/>
    </row>
    <row r="50" spans="1:12" s="638" customFormat="1" ht="26.25" customHeight="1" thickBot="1">
      <c r="A50" s="637" t="s">
        <v>28</v>
      </c>
      <c r="B50" s="651">
        <f>B15+B18+B33+B34+B39</f>
        <v>237504190</v>
      </c>
      <c r="C50" s="651">
        <f aca="true" t="shared" si="0" ref="C50:L50">C15+C18+C33+C34+C39</f>
        <v>240592752</v>
      </c>
      <c r="D50" s="651">
        <f>D15+D18+D33+D34+D39+D40</f>
        <v>248941734</v>
      </c>
      <c r="E50" s="651">
        <f t="shared" si="0"/>
        <v>133123</v>
      </c>
      <c r="F50" s="651">
        <f t="shared" si="0"/>
        <v>0.00175514687891777</v>
      </c>
      <c r="G50" s="651">
        <f t="shared" si="0"/>
        <v>0</v>
      </c>
      <c r="H50" s="651">
        <f t="shared" si="0"/>
        <v>0</v>
      </c>
      <c r="I50" s="651">
        <f t="shared" si="0"/>
        <v>0</v>
      </c>
      <c r="J50" s="651">
        <f t="shared" si="0"/>
        <v>0</v>
      </c>
      <c r="K50" s="651">
        <f t="shared" si="0"/>
        <v>0</v>
      </c>
      <c r="L50" s="651" t="e">
        <f t="shared" si="0"/>
        <v>#DIV/0!</v>
      </c>
    </row>
    <row r="51" ht="15" hidden="1">
      <c r="B51" s="1055">
        <f>'3.sz.m Önk  bev.'!E33</f>
        <v>237504190</v>
      </c>
    </row>
    <row r="52" spans="1:2" ht="15" hidden="1">
      <c r="A52" s="639"/>
      <c r="B52" s="1055">
        <f>B50-B51</f>
        <v>0</v>
      </c>
    </row>
  </sheetData>
  <sheetProtection/>
  <mergeCells count="11">
    <mergeCell ref="L6:L13"/>
    <mergeCell ref="L16:L17"/>
    <mergeCell ref="L19:L31"/>
    <mergeCell ref="A2:D2"/>
    <mergeCell ref="A1:F1"/>
    <mergeCell ref="E5:E13"/>
    <mergeCell ref="E20:E30"/>
    <mergeCell ref="F20:F30"/>
    <mergeCell ref="E16:E17"/>
    <mergeCell ref="F16:F17"/>
    <mergeCell ref="F5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K85" sqref="K85"/>
    </sheetView>
  </sheetViews>
  <sheetFormatPr defaultColWidth="9.140625" defaultRowHeight="12.75"/>
  <cols>
    <col min="1" max="1" width="8.28125" style="336" customWidth="1"/>
    <col min="2" max="2" width="8.28125" style="330" customWidth="1"/>
    <col min="3" max="3" width="52.00390625" style="330" customWidth="1"/>
    <col min="4" max="6" width="8.28125" style="330" bestFit="1" customWidth="1"/>
    <col min="7" max="7" width="7.421875" style="330" bestFit="1" customWidth="1"/>
    <col min="8" max="8" width="8.421875" style="330" bestFit="1" customWidth="1"/>
    <col min="9" max="9" width="8.8515625" style="330" hidden="1" customWidth="1"/>
    <col min="10" max="12" width="8.28125" style="330" bestFit="1" customWidth="1"/>
    <col min="13" max="13" width="7.421875" style="330" bestFit="1" customWidth="1"/>
    <col min="14" max="14" width="8.421875" style="330" bestFit="1" customWidth="1"/>
    <col min="15" max="15" width="8.8515625" style="330" hidden="1" customWidth="1"/>
    <col min="16" max="16" width="12.421875" style="330" bestFit="1" customWidth="1"/>
    <col min="17" max="17" width="4.57421875" style="330" hidden="1" customWidth="1"/>
    <col min="18" max="18" width="0" style="330" hidden="1" customWidth="1"/>
    <col min="19" max="19" width="10.00390625" style="330" hidden="1" customWidth="1"/>
    <col min="20" max="20" width="0" style="330" hidden="1" customWidth="1"/>
    <col min="21" max="16384" width="9.140625" style="330" customWidth="1"/>
  </cols>
  <sheetData>
    <row r="1" spans="1:16" s="151" customFormat="1" ht="21" customHeight="1" hidden="1">
      <c r="A1" s="147"/>
      <c r="B1" s="148"/>
      <c r="C1" s="149"/>
      <c r="D1" s="150"/>
      <c r="E1" s="150"/>
      <c r="F1" s="150"/>
      <c r="G1" s="150"/>
      <c r="H1" s="150"/>
      <c r="I1" s="150"/>
      <c r="J1" s="1186"/>
      <c r="K1" s="1186"/>
      <c r="L1" s="1186"/>
      <c r="M1" s="1186"/>
      <c r="N1" s="1186"/>
      <c r="O1" s="1186"/>
      <c r="P1" s="1186"/>
    </row>
    <row r="2" spans="1:16" s="154" customFormat="1" ht="25.5" customHeight="1" hidden="1" thickBot="1">
      <c r="A2" s="1189"/>
      <c r="B2" s="1189"/>
      <c r="C2" s="1189"/>
      <c r="D2" s="1189"/>
      <c r="E2" s="1189"/>
      <c r="F2" s="1189"/>
      <c r="G2" s="1189"/>
      <c r="H2" s="1189"/>
      <c r="I2" s="1189"/>
      <c r="J2" s="1189"/>
      <c r="K2" s="1189"/>
      <c r="L2" s="1189"/>
      <c r="M2" s="1189"/>
      <c r="N2" s="1189"/>
      <c r="O2" s="1189"/>
      <c r="P2" s="1189"/>
    </row>
    <row r="3" spans="1:20" s="157" customFormat="1" ht="40.5" customHeight="1" hidden="1" thickBot="1">
      <c r="A3" s="155"/>
      <c r="B3" s="155"/>
      <c r="C3" s="155"/>
      <c r="D3" s="1196" t="s">
        <v>5</v>
      </c>
      <c r="E3" s="1197"/>
      <c r="F3" s="1197"/>
      <c r="G3" s="1197"/>
      <c r="H3" s="1197"/>
      <c r="I3" s="1198"/>
      <c r="J3" s="1196" t="s">
        <v>110</v>
      </c>
      <c r="K3" s="1197"/>
      <c r="L3" s="1197"/>
      <c r="M3" s="1197"/>
      <c r="N3" s="1197"/>
      <c r="O3" s="1198"/>
      <c r="P3" s="1340" t="s">
        <v>158</v>
      </c>
      <c r="Q3" s="1341"/>
      <c r="R3" s="1341"/>
      <c r="S3" s="1342"/>
      <c r="T3" s="550"/>
    </row>
    <row r="4" spans="1:19" ht="24.75" hidden="1" thickBot="1">
      <c r="A4" s="1187" t="s">
        <v>112</v>
      </c>
      <c r="B4" s="1188"/>
      <c r="C4" s="528" t="s">
        <v>113</v>
      </c>
      <c r="D4" s="517" t="s">
        <v>70</v>
      </c>
      <c r="E4" s="158" t="s">
        <v>241</v>
      </c>
      <c r="F4" s="158" t="s">
        <v>244</v>
      </c>
      <c r="G4" s="158" t="s">
        <v>247</v>
      </c>
      <c r="H4" s="158" t="s">
        <v>263</v>
      </c>
      <c r="I4" s="488" t="s">
        <v>251</v>
      </c>
      <c r="J4" s="517" t="s">
        <v>70</v>
      </c>
      <c r="K4" s="158" t="s">
        <v>241</v>
      </c>
      <c r="L4" s="158" t="s">
        <v>244</v>
      </c>
      <c r="M4" s="158" t="s">
        <v>247</v>
      </c>
      <c r="N4" s="158" t="s">
        <v>263</v>
      </c>
      <c r="O4" s="488" t="s">
        <v>251</v>
      </c>
      <c r="P4" s="517" t="s">
        <v>264</v>
      </c>
      <c r="Q4" s="158" t="s">
        <v>260</v>
      </c>
      <c r="R4" s="158" t="s">
        <v>244</v>
      </c>
      <c r="S4" s="488" t="s">
        <v>244</v>
      </c>
    </row>
    <row r="5" spans="1:19" s="163" customFormat="1" ht="12.75" customHeight="1" hidden="1" thickBot="1">
      <c r="A5" s="160">
        <v>1</v>
      </c>
      <c r="B5" s="161">
        <v>2</v>
      </c>
      <c r="C5" s="315">
        <v>3</v>
      </c>
      <c r="D5" s="160"/>
      <c r="E5" s="161"/>
      <c r="F5" s="161"/>
      <c r="G5" s="161"/>
      <c r="H5" s="161"/>
      <c r="I5" s="162"/>
      <c r="J5" s="160"/>
      <c r="K5" s="161"/>
      <c r="L5" s="161"/>
      <c r="M5" s="161"/>
      <c r="N5" s="161"/>
      <c r="O5" s="162"/>
      <c r="P5" s="160"/>
      <c r="Q5" s="161"/>
      <c r="R5" s="161"/>
      <c r="S5" s="162"/>
    </row>
    <row r="6" spans="1:19" s="163" customFormat="1" ht="15.75" customHeight="1" hidden="1" thickBot="1">
      <c r="A6" s="164"/>
      <c r="B6" s="165"/>
      <c r="C6" s="165" t="s">
        <v>114</v>
      </c>
      <c r="D6" s="494"/>
      <c r="E6" s="228"/>
      <c r="F6" s="228"/>
      <c r="G6" s="228"/>
      <c r="H6" s="228"/>
      <c r="I6" s="293"/>
      <c r="J6" s="494"/>
      <c r="K6" s="228"/>
      <c r="L6" s="228"/>
      <c r="M6" s="228"/>
      <c r="N6" s="228"/>
      <c r="O6" s="293"/>
      <c r="P6" s="494"/>
      <c r="Q6" s="228"/>
      <c r="R6" s="228"/>
      <c r="S6" s="293"/>
    </row>
    <row r="7" spans="1:19" s="169" customFormat="1" ht="12" customHeight="1" hidden="1" thickBot="1">
      <c r="A7" s="160" t="s">
        <v>30</v>
      </c>
      <c r="B7" s="166"/>
      <c r="C7" s="529" t="s">
        <v>115</v>
      </c>
      <c r="D7" s="495"/>
      <c r="E7" s="229"/>
      <c r="F7" s="229"/>
      <c r="G7" s="229"/>
      <c r="H7" s="559"/>
      <c r="I7" s="410"/>
      <c r="J7" s="495"/>
      <c r="K7" s="229"/>
      <c r="L7" s="229"/>
      <c r="M7" s="229"/>
      <c r="N7" s="559"/>
      <c r="O7" s="410"/>
      <c r="P7" s="495"/>
      <c r="Q7" s="229"/>
      <c r="R7" s="229"/>
      <c r="S7" s="168"/>
    </row>
    <row r="8" spans="1:19" s="169" customFormat="1" ht="12" customHeight="1" hidden="1" thickBot="1">
      <c r="A8" s="160" t="s">
        <v>10</v>
      </c>
      <c r="B8" s="166"/>
      <c r="C8" s="529" t="s">
        <v>121</v>
      </c>
      <c r="D8" s="495">
        <f aca="true" t="shared" si="0" ref="D8:M8">SUM(D9:D12)</f>
        <v>0</v>
      </c>
      <c r="E8" s="229">
        <f t="shared" si="0"/>
        <v>0</v>
      </c>
      <c r="F8" s="229">
        <f t="shared" si="0"/>
        <v>0</v>
      </c>
      <c r="G8" s="229">
        <f>SUM(G9:G12)</f>
        <v>0</v>
      </c>
      <c r="H8" s="559">
        <f>SUM(H9:H12)</f>
        <v>0</v>
      </c>
      <c r="I8" s="410"/>
      <c r="J8" s="495">
        <f t="shared" si="0"/>
        <v>0</v>
      </c>
      <c r="K8" s="229">
        <f t="shared" si="0"/>
        <v>0</v>
      </c>
      <c r="L8" s="229">
        <f t="shared" si="0"/>
        <v>0</v>
      </c>
      <c r="M8" s="229">
        <f t="shared" si="0"/>
        <v>0</v>
      </c>
      <c r="N8" s="559" t="s">
        <v>265</v>
      </c>
      <c r="O8" s="410"/>
      <c r="P8" s="495"/>
      <c r="Q8" s="229"/>
      <c r="R8" s="229"/>
      <c r="S8" s="168"/>
    </row>
    <row r="9" spans="1:19" s="175" customFormat="1" ht="12" customHeight="1" hidden="1">
      <c r="A9" s="172"/>
      <c r="B9" s="171" t="s">
        <v>122</v>
      </c>
      <c r="C9" s="507" t="s">
        <v>77</v>
      </c>
      <c r="D9" s="497"/>
      <c r="E9" s="230"/>
      <c r="F9" s="230"/>
      <c r="G9" s="230"/>
      <c r="H9" s="560"/>
      <c r="I9" s="516"/>
      <c r="J9" s="497"/>
      <c r="K9" s="230"/>
      <c r="L9" s="230"/>
      <c r="M9" s="230"/>
      <c r="N9" s="560"/>
      <c r="O9" s="516"/>
      <c r="P9" s="497"/>
      <c r="Q9" s="230"/>
      <c r="R9" s="230"/>
      <c r="S9" s="174"/>
    </row>
    <row r="10" spans="1:19" s="175" customFormat="1" ht="12" customHeight="1" hidden="1">
      <c r="A10" s="172"/>
      <c r="B10" s="171" t="s">
        <v>123</v>
      </c>
      <c r="C10" s="508" t="s">
        <v>124</v>
      </c>
      <c r="D10" s="497"/>
      <c r="E10" s="230"/>
      <c r="F10" s="230"/>
      <c r="G10" s="230"/>
      <c r="H10" s="560"/>
      <c r="I10" s="545"/>
      <c r="J10" s="497"/>
      <c r="K10" s="230"/>
      <c r="L10" s="230"/>
      <c r="M10" s="230"/>
      <c r="N10" s="560"/>
      <c r="O10" s="545"/>
      <c r="P10" s="497"/>
      <c r="Q10" s="230"/>
      <c r="R10" s="230"/>
      <c r="S10" s="174"/>
    </row>
    <row r="11" spans="1:19" s="175" customFormat="1" ht="12" customHeight="1" hidden="1">
      <c r="A11" s="172"/>
      <c r="B11" s="171" t="s">
        <v>125</v>
      </c>
      <c r="C11" s="508" t="s">
        <v>78</v>
      </c>
      <c r="D11" s="497"/>
      <c r="E11" s="230"/>
      <c r="F11" s="230"/>
      <c r="G11" s="230"/>
      <c r="H11" s="560"/>
      <c r="I11" s="545"/>
      <c r="J11" s="497"/>
      <c r="K11" s="230"/>
      <c r="L11" s="230"/>
      <c r="M11" s="230"/>
      <c r="N11" s="560"/>
      <c r="O11" s="545"/>
      <c r="P11" s="497"/>
      <c r="Q11" s="230"/>
      <c r="R11" s="230"/>
      <c r="S11" s="174"/>
    </row>
    <row r="12" spans="1:19" s="175" customFormat="1" ht="12" customHeight="1" hidden="1" thickBot="1">
      <c r="A12" s="172"/>
      <c r="B12" s="171" t="s">
        <v>126</v>
      </c>
      <c r="C12" s="508" t="s">
        <v>124</v>
      </c>
      <c r="D12" s="497"/>
      <c r="E12" s="230"/>
      <c r="F12" s="230"/>
      <c r="G12" s="230"/>
      <c r="H12" s="560"/>
      <c r="I12" s="551"/>
      <c r="J12" s="497"/>
      <c r="K12" s="230"/>
      <c r="L12" s="230"/>
      <c r="M12" s="230"/>
      <c r="N12" s="560"/>
      <c r="O12" s="551"/>
      <c r="P12" s="497"/>
      <c r="Q12" s="230"/>
      <c r="R12" s="230"/>
      <c r="S12" s="174"/>
    </row>
    <row r="13" spans="1:19" s="175" customFormat="1" ht="12" customHeight="1" hidden="1" thickBot="1">
      <c r="A13" s="178" t="s">
        <v>11</v>
      </c>
      <c r="B13" s="179"/>
      <c r="C13" s="506" t="s">
        <v>127</v>
      </c>
      <c r="D13" s="495">
        <f aca="true" t="shared" si="1" ref="D13:M13">SUM(D14:D15)</f>
        <v>0</v>
      </c>
      <c r="E13" s="229">
        <f t="shared" si="1"/>
        <v>0</v>
      </c>
      <c r="F13" s="229">
        <f t="shared" si="1"/>
        <v>0</v>
      </c>
      <c r="G13" s="229">
        <f>SUM(G14:G15)</f>
        <v>0</v>
      </c>
      <c r="H13" s="559"/>
      <c r="I13" s="410"/>
      <c r="J13" s="495">
        <f t="shared" si="1"/>
        <v>0</v>
      </c>
      <c r="K13" s="229">
        <f t="shared" si="1"/>
        <v>0</v>
      </c>
      <c r="L13" s="229">
        <f t="shared" si="1"/>
        <v>0</v>
      </c>
      <c r="M13" s="229">
        <f t="shared" si="1"/>
        <v>0</v>
      </c>
      <c r="N13" s="559"/>
      <c r="O13" s="410"/>
      <c r="P13" s="495"/>
      <c r="Q13" s="229"/>
      <c r="R13" s="229"/>
      <c r="S13" s="168"/>
    </row>
    <row r="14" spans="1:19" s="169" customFormat="1" ht="12" customHeight="1" hidden="1">
      <c r="A14" s="180"/>
      <c r="B14" s="181" t="s">
        <v>128</v>
      </c>
      <c r="C14" s="530" t="s">
        <v>129</v>
      </c>
      <c r="D14" s="498"/>
      <c r="E14" s="231"/>
      <c r="F14" s="231"/>
      <c r="G14" s="231"/>
      <c r="H14" s="561"/>
      <c r="I14" s="516"/>
      <c r="J14" s="498"/>
      <c r="K14" s="231"/>
      <c r="L14" s="231"/>
      <c r="M14" s="231"/>
      <c r="N14" s="561"/>
      <c r="O14" s="516"/>
      <c r="P14" s="498"/>
      <c r="Q14" s="231"/>
      <c r="R14" s="231"/>
      <c r="S14" s="183"/>
    </row>
    <row r="15" spans="1:19" s="169" customFormat="1" ht="12" customHeight="1" hidden="1" thickBot="1">
      <c r="A15" s="184"/>
      <c r="B15" s="185" t="s">
        <v>130</v>
      </c>
      <c r="C15" s="531" t="s">
        <v>131</v>
      </c>
      <c r="D15" s="499"/>
      <c r="E15" s="232"/>
      <c r="F15" s="232"/>
      <c r="G15" s="232"/>
      <c r="H15" s="562"/>
      <c r="I15" s="551"/>
      <c r="J15" s="499"/>
      <c r="K15" s="232"/>
      <c r="L15" s="232"/>
      <c r="M15" s="232"/>
      <c r="N15" s="562"/>
      <c r="O15" s="551"/>
      <c r="P15" s="499"/>
      <c r="Q15" s="232"/>
      <c r="R15" s="232"/>
      <c r="S15" s="187"/>
    </row>
    <row r="16" spans="1:19" s="169" customFormat="1" ht="12" customHeight="1" hidden="1" thickBot="1">
      <c r="A16" s="178" t="s">
        <v>12</v>
      </c>
      <c r="B16" s="166"/>
      <c r="C16" s="506" t="s">
        <v>132</v>
      </c>
      <c r="D16" s="500"/>
      <c r="E16" s="233"/>
      <c r="F16" s="233"/>
      <c r="G16" s="233"/>
      <c r="H16" s="563"/>
      <c r="I16" s="410"/>
      <c r="J16" s="500"/>
      <c r="K16" s="233"/>
      <c r="L16" s="233"/>
      <c r="M16" s="233"/>
      <c r="N16" s="563" t="s">
        <v>265</v>
      </c>
      <c r="O16" s="410"/>
      <c r="P16" s="500"/>
      <c r="Q16" s="233"/>
      <c r="R16" s="233"/>
      <c r="S16" s="188"/>
    </row>
    <row r="17" spans="1:19" s="169" customFormat="1" ht="12" customHeight="1" hidden="1" thickBot="1">
      <c r="A17" s="160" t="s">
        <v>13</v>
      </c>
      <c r="B17" s="189"/>
      <c r="C17" s="506" t="s">
        <v>133</v>
      </c>
      <c r="D17" s="495">
        <f aca="true" t="shared" si="2" ref="D17:M17">D7+D8+D13+D16</f>
        <v>0</v>
      </c>
      <c r="E17" s="229">
        <f t="shared" si="2"/>
        <v>0</v>
      </c>
      <c r="F17" s="229">
        <f t="shared" si="2"/>
        <v>0</v>
      </c>
      <c r="G17" s="229">
        <f t="shared" si="2"/>
        <v>0</v>
      </c>
      <c r="H17" s="559" t="s">
        <v>265</v>
      </c>
      <c r="I17" s="410"/>
      <c r="J17" s="495">
        <f t="shared" si="2"/>
        <v>0</v>
      </c>
      <c r="K17" s="229">
        <f t="shared" si="2"/>
        <v>0</v>
      </c>
      <c r="L17" s="229">
        <f t="shared" si="2"/>
        <v>0</v>
      </c>
      <c r="M17" s="229">
        <f t="shared" si="2"/>
        <v>0</v>
      </c>
      <c r="N17" s="559" t="s">
        <v>265</v>
      </c>
      <c r="O17" s="410"/>
      <c r="P17" s="495"/>
      <c r="Q17" s="229"/>
      <c r="R17" s="229"/>
      <c r="S17" s="168"/>
    </row>
    <row r="18" spans="1:19" s="175" customFormat="1" ht="12" customHeight="1" hidden="1" thickBot="1">
      <c r="A18" s="190" t="s">
        <v>14</v>
      </c>
      <c r="B18" s="191"/>
      <c r="C18" s="532" t="s">
        <v>134</v>
      </c>
      <c r="D18" s="501">
        <f aca="true" t="shared" si="3" ref="D18:M18">SUM(D19:D20)</f>
        <v>0</v>
      </c>
      <c r="E18" s="234">
        <f t="shared" si="3"/>
        <v>0</v>
      </c>
      <c r="F18" s="234">
        <f t="shared" si="3"/>
        <v>0</v>
      </c>
      <c r="G18" s="234">
        <f>SUM(G19:G20)</f>
        <v>0</v>
      </c>
      <c r="H18" s="564" t="s">
        <v>265</v>
      </c>
      <c r="I18" s="410"/>
      <c r="J18" s="501">
        <f t="shared" si="3"/>
        <v>0</v>
      </c>
      <c r="K18" s="234">
        <f t="shared" si="3"/>
        <v>0</v>
      </c>
      <c r="L18" s="234">
        <f t="shared" si="3"/>
        <v>0</v>
      </c>
      <c r="M18" s="234">
        <f t="shared" si="3"/>
        <v>0</v>
      </c>
      <c r="N18" s="564" t="s">
        <v>265</v>
      </c>
      <c r="O18" s="410"/>
      <c r="P18" s="495"/>
      <c r="Q18" s="229"/>
      <c r="R18" s="229"/>
      <c r="S18" s="168"/>
    </row>
    <row r="19" spans="1:19" s="175" customFormat="1" ht="15" customHeight="1" hidden="1">
      <c r="A19" s="170"/>
      <c r="B19" s="193" t="s">
        <v>135</v>
      </c>
      <c r="C19" s="530" t="s">
        <v>136</v>
      </c>
      <c r="D19" s="498"/>
      <c r="E19" s="231"/>
      <c r="F19" s="231"/>
      <c r="G19" s="231"/>
      <c r="H19" s="561"/>
      <c r="I19" s="516"/>
      <c r="J19" s="498"/>
      <c r="K19" s="231"/>
      <c r="L19" s="231"/>
      <c r="M19" s="231"/>
      <c r="N19" s="561" t="s">
        <v>265</v>
      </c>
      <c r="O19" s="516"/>
      <c r="P19" s="504"/>
      <c r="Q19" s="505"/>
      <c r="R19" s="505"/>
      <c r="S19" s="290"/>
    </row>
    <row r="20" spans="1:19" s="175" customFormat="1" ht="15" customHeight="1" hidden="1" thickBot="1">
      <c r="A20" s="194"/>
      <c r="B20" s="195" t="s">
        <v>137</v>
      </c>
      <c r="C20" s="533" t="s">
        <v>138</v>
      </c>
      <c r="D20" s="502"/>
      <c r="E20" s="235"/>
      <c r="F20" s="235"/>
      <c r="G20" s="235"/>
      <c r="H20" s="565"/>
      <c r="I20" s="551"/>
      <c r="J20" s="502"/>
      <c r="K20" s="235"/>
      <c r="L20" s="235"/>
      <c r="M20" s="235"/>
      <c r="N20" s="565"/>
      <c r="O20" s="551"/>
      <c r="P20" s="502"/>
      <c r="Q20" s="235"/>
      <c r="R20" s="235"/>
      <c r="S20" s="197"/>
    </row>
    <row r="21" spans="1:19" ht="13.5" hidden="1" thickBot="1">
      <c r="A21" s="198" t="s">
        <v>62</v>
      </c>
      <c r="B21" s="331"/>
      <c r="C21" s="510" t="s">
        <v>139</v>
      </c>
      <c r="D21" s="500"/>
      <c r="E21" s="233"/>
      <c r="F21" s="233"/>
      <c r="G21" s="233"/>
      <c r="H21" s="563"/>
      <c r="I21" s="410"/>
      <c r="J21" s="500"/>
      <c r="K21" s="233"/>
      <c r="L21" s="233"/>
      <c r="M21" s="233"/>
      <c r="N21" s="563"/>
      <c r="O21" s="410"/>
      <c r="P21" s="500"/>
      <c r="Q21" s="233"/>
      <c r="R21" s="233"/>
      <c r="S21" s="188"/>
    </row>
    <row r="22" spans="1:19" s="163" customFormat="1" ht="16.5" customHeight="1" hidden="1" thickBot="1">
      <c r="A22" s="198" t="s">
        <v>63</v>
      </c>
      <c r="B22" s="332"/>
      <c r="C22" s="534" t="s">
        <v>140</v>
      </c>
      <c r="D22" s="503">
        <f aca="true" t="shared" si="4" ref="D22:M22">D17+D21+D18</f>
        <v>0</v>
      </c>
      <c r="E22" s="236">
        <f t="shared" si="4"/>
        <v>0</v>
      </c>
      <c r="F22" s="236">
        <f t="shared" si="4"/>
        <v>0</v>
      </c>
      <c r="G22" s="236">
        <f t="shared" si="4"/>
        <v>0</v>
      </c>
      <c r="H22" s="566" t="s">
        <v>265</v>
      </c>
      <c r="I22" s="410"/>
      <c r="J22" s="503">
        <f t="shared" si="4"/>
        <v>0</v>
      </c>
      <c r="K22" s="236">
        <f t="shared" si="4"/>
        <v>0</v>
      </c>
      <c r="L22" s="236">
        <f t="shared" si="4"/>
        <v>0</v>
      </c>
      <c r="M22" s="236">
        <f t="shared" si="4"/>
        <v>0</v>
      </c>
      <c r="N22" s="566" t="s">
        <v>265</v>
      </c>
      <c r="O22" s="410"/>
      <c r="P22" s="503"/>
      <c r="Q22" s="236"/>
      <c r="R22" s="236"/>
      <c r="S22" s="221"/>
    </row>
    <row r="23" spans="1:19" s="207" customFormat="1" ht="12" customHeight="1" hidden="1">
      <c r="A23" s="204"/>
      <c r="B23" s="204"/>
      <c r="C23" s="205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</row>
    <row r="24" spans="1:18" ht="12" customHeight="1" hidden="1" thickBot="1">
      <c r="A24" s="208"/>
      <c r="B24" s="209"/>
      <c r="C24" s="209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</row>
    <row r="25" spans="1:19" ht="12" customHeight="1" hidden="1" thickBot="1">
      <c r="A25" s="211"/>
      <c r="B25" s="212"/>
      <c r="C25" s="213" t="s">
        <v>141</v>
      </c>
      <c r="D25" s="227"/>
      <c r="E25" s="227"/>
      <c r="F25" s="227"/>
      <c r="G25" s="227"/>
      <c r="H25" s="227"/>
      <c r="I25" s="227"/>
      <c r="J25" s="236"/>
      <c r="K25" s="236"/>
      <c r="L25" s="227"/>
      <c r="M25" s="227"/>
      <c r="N25" s="227"/>
      <c r="O25" s="227"/>
      <c r="P25" s="203"/>
      <c r="Q25" s="203"/>
      <c r="R25" s="203"/>
      <c r="S25" s="203"/>
    </row>
    <row r="26" spans="1:19" ht="12" customHeight="1" hidden="1" thickBot="1">
      <c r="A26" s="178" t="s">
        <v>30</v>
      </c>
      <c r="B26" s="214"/>
      <c r="C26" s="506" t="s">
        <v>142</v>
      </c>
      <c r="D26" s="495">
        <f aca="true" t="shared" si="5" ref="D26:M26">SUM(D27:D31)</f>
        <v>0</v>
      </c>
      <c r="E26" s="229">
        <f t="shared" si="5"/>
        <v>0</v>
      </c>
      <c r="F26" s="229">
        <f t="shared" si="5"/>
        <v>0</v>
      </c>
      <c r="G26" s="229">
        <f>SUM(G27:G31)</f>
        <v>0</v>
      </c>
      <c r="H26" s="567" t="s">
        <v>265</v>
      </c>
      <c r="I26" s="491"/>
      <c r="J26" s="495">
        <f t="shared" si="5"/>
        <v>0</v>
      </c>
      <c r="K26" s="229">
        <f t="shared" si="5"/>
        <v>0</v>
      </c>
      <c r="L26" s="229">
        <f t="shared" si="5"/>
        <v>0</v>
      </c>
      <c r="M26" s="229">
        <f t="shared" si="5"/>
        <v>0</v>
      </c>
      <c r="N26" s="567" t="s">
        <v>265</v>
      </c>
      <c r="O26" s="491"/>
      <c r="P26" s="552"/>
      <c r="Q26" s="489"/>
      <c r="R26" s="168"/>
      <c r="S26" s="168"/>
    </row>
    <row r="27" spans="1:19" ht="12" customHeight="1" hidden="1">
      <c r="A27" s="215"/>
      <c r="B27" s="216" t="s">
        <v>116</v>
      </c>
      <c r="C27" s="507" t="s">
        <v>143</v>
      </c>
      <c r="D27" s="513"/>
      <c r="E27" s="237"/>
      <c r="F27" s="237"/>
      <c r="G27" s="237"/>
      <c r="H27" s="568"/>
      <c r="I27" s="492"/>
      <c r="J27" s="513"/>
      <c r="K27" s="237"/>
      <c r="L27" s="237"/>
      <c r="M27" s="237"/>
      <c r="N27" s="568"/>
      <c r="O27" s="492"/>
      <c r="P27" s="553"/>
      <c r="Q27" s="520"/>
      <c r="R27" s="174"/>
      <c r="S27" s="174"/>
    </row>
    <row r="28" spans="1:19" ht="12" customHeight="1" hidden="1">
      <c r="A28" s="217"/>
      <c r="B28" s="218" t="s">
        <v>117</v>
      </c>
      <c r="C28" s="508" t="s">
        <v>54</v>
      </c>
      <c r="D28" s="514"/>
      <c r="E28" s="238"/>
      <c r="F28" s="238"/>
      <c r="G28" s="238"/>
      <c r="H28" s="569"/>
      <c r="I28" s="541"/>
      <c r="J28" s="514"/>
      <c r="K28" s="238"/>
      <c r="L28" s="238"/>
      <c r="M28" s="238"/>
      <c r="N28" s="569"/>
      <c r="O28" s="541"/>
      <c r="P28" s="553"/>
      <c r="Q28" s="520"/>
      <c r="R28" s="174"/>
      <c r="S28" s="174"/>
    </row>
    <row r="29" spans="1:19" ht="12" customHeight="1" hidden="1">
      <c r="A29" s="217"/>
      <c r="B29" s="218" t="s">
        <v>118</v>
      </c>
      <c r="C29" s="508" t="s">
        <v>144</v>
      </c>
      <c r="D29" s="514"/>
      <c r="E29" s="238"/>
      <c r="F29" s="238"/>
      <c r="G29" s="238"/>
      <c r="H29" s="569"/>
      <c r="I29" s="541"/>
      <c r="J29" s="514"/>
      <c r="K29" s="238"/>
      <c r="L29" s="238"/>
      <c r="M29" s="238"/>
      <c r="N29" s="569"/>
      <c r="O29" s="541"/>
      <c r="P29" s="553"/>
      <c r="Q29" s="520"/>
      <c r="R29" s="174"/>
      <c r="S29" s="174"/>
    </row>
    <row r="30" spans="1:19" s="207" customFormat="1" ht="12" customHeight="1" hidden="1">
      <c r="A30" s="217"/>
      <c r="B30" s="218" t="s">
        <v>119</v>
      </c>
      <c r="C30" s="508" t="s">
        <v>86</v>
      </c>
      <c r="D30" s="514"/>
      <c r="E30" s="238"/>
      <c r="F30" s="238"/>
      <c r="G30" s="238"/>
      <c r="H30" s="569"/>
      <c r="I30" s="542"/>
      <c r="J30" s="514"/>
      <c r="K30" s="238"/>
      <c r="L30" s="238"/>
      <c r="M30" s="238"/>
      <c r="N30" s="569"/>
      <c r="O30" s="542"/>
      <c r="P30" s="553"/>
      <c r="Q30" s="520"/>
      <c r="R30" s="174"/>
      <c r="S30" s="174"/>
    </row>
    <row r="31" spans="1:19" ht="12" customHeight="1" hidden="1" thickBot="1">
      <c r="A31" s="217"/>
      <c r="B31" s="218" t="s">
        <v>53</v>
      </c>
      <c r="C31" s="508" t="s">
        <v>88</v>
      </c>
      <c r="D31" s="514"/>
      <c r="E31" s="238"/>
      <c r="F31" s="238"/>
      <c r="G31" s="238"/>
      <c r="H31" s="569"/>
      <c r="I31" s="543"/>
      <c r="J31" s="514"/>
      <c r="K31" s="238"/>
      <c r="L31" s="238"/>
      <c r="M31" s="238"/>
      <c r="N31" s="569"/>
      <c r="O31" s="543"/>
      <c r="P31" s="554"/>
      <c r="Q31" s="521"/>
      <c r="R31" s="219"/>
      <c r="S31" s="219"/>
    </row>
    <row r="32" spans="1:19" ht="12" customHeight="1" hidden="1" thickBot="1">
      <c r="A32" s="178" t="s">
        <v>31</v>
      </c>
      <c r="B32" s="214"/>
      <c r="C32" s="506" t="s">
        <v>145</v>
      </c>
      <c r="D32" s="495">
        <f>SUM(D33:D36)</f>
        <v>0</v>
      </c>
      <c r="E32" s="229">
        <f>SUM(E33:E36)</f>
        <v>0</v>
      </c>
      <c r="F32" s="229">
        <f>SUM(F33:F36)</f>
        <v>0</v>
      </c>
      <c r="G32" s="229">
        <f>SUM(G33:G36)</f>
        <v>0</v>
      </c>
      <c r="H32" s="567"/>
      <c r="I32" s="493"/>
      <c r="J32" s="495"/>
      <c r="K32" s="229"/>
      <c r="L32" s="229">
        <f>SUM(L33:L36)</f>
        <v>0</v>
      </c>
      <c r="M32" s="229">
        <f>SUM(M33:M36)</f>
        <v>0</v>
      </c>
      <c r="N32" s="567"/>
      <c r="O32" s="493"/>
      <c r="P32" s="552"/>
      <c r="Q32" s="489"/>
      <c r="R32" s="168"/>
      <c r="S32" s="168"/>
    </row>
    <row r="33" spans="1:19" ht="12" customHeight="1" hidden="1">
      <c r="A33" s="215"/>
      <c r="B33" s="216" t="s">
        <v>146</v>
      </c>
      <c r="C33" s="507" t="s">
        <v>98</v>
      </c>
      <c r="D33" s="513"/>
      <c r="E33" s="237"/>
      <c r="F33" s="237"/>
      <c r="G33" s="237"/>
      <c r="H33" s="568"/>
      <c r="I33" s="542"/>
      <c r="J33" s="513"/>
      <c r="K33" s="237"/>
      <c r="L33" s="237"/>
      <c r="M33" s="237"/>
      <c r="N33" s="568"/>
      <c r="O33" s="542"/>
      <c r="P33" s="553"/>
      <c r="Q33" s="520"/>
      <c r="R33" s="174"/>
      <c r="S33" s="174"/>
    </row>
    <row r="34" spans="1:19" ht="12" customHeight="1" hidden="1">
      <c r="A34" s="217"/>
      <c r="B34" s="218" t="s">
        <v>147</v>
      </c>
      <c r="C34" s="508" t="s">
        <v>99</v>
      </c>
      <c r="D34" s="514">
        <v>0</v>
      </c>
      <c r="E34" s="238">
        <v>0</v>
      </c>
      <c r="F34" s="238">
        <v>0</v>
      </c>
      <c r="G34" s="238">
        <v>0</v>
      </c>
      <c r="H34" s="569"/>
      <c r="I34" s="543"/>
      <c r="J34" s="514"/>
      <c r="K34" s="238"/>
      <c r="L34" s="238">
        <v>0</v>
      </c>
      <c r="M34" s="238">
        <v>0</v>
      </c>
      <c r="N34" s="569"/>
      <c r="O34" s="543"/>
      <c r="P34" s="554"/>
      <c r="Q34" s="521"/>
      <c r="R34" s="219"/>
      <c r="S34" s="219"/>
    </row>
    <row r="35" spans="1:19" ht="15" customHeight="1" hidden="1">
      <c r="A35" s="217"/>
      <c r="B35" s="218" t="s">
        <v>148</v>
      </c>
      <c r="C35" s="508" t="s">
        <v>149</v>
      </c>
      <c r="D35" s="514"/>
      <c r="E35" s="238"/>
      <c r="F35" s="238"/>
      <c r="G35" s="238"/>
      <c r="H35" s="569"/>
      <c r="I35" s="543"/>
      <c r="J35" s="514"/>
      <c r="K35" s="238"/>
      <c r="L35" s="238"/>
      <c r="M35" s="238"/>
      <c r="N35" s="569"/>
      <c r="O35" s="543"/>
      <c r="P35" s="554"/>
      <c r="Q35" s="521"/>
      <c r="R35" s="219"/>
      <c r="S35" s="219"/>
    </row>
    <row r="36" spans="1:19" ht="13.5" hidden="1" thickBot="1">
      <c r="A36" s="217"/>
      <c r="B36" s="218" t="s">
        <v>150</v>
      </c>
      <c r="C36" s="508" t="s">
        <v>151</v>
      </c>
      <c r="D36" s="514"/>
      <c r="E36" s="238"/>
      <c r="F36" s="238"/>
      <c r="G36" s="238"/>
      <c r="H36" s="569"/>
      <c r="I36" s="543"/>
      <c r="J36" s="514"/>
      <c r="K36" s="238"/>
      <c r="L36" s="238"/>
      <c r="M36" s="238"/>
      <c r="N36" s="569"/>
      <c r="O36" s="543"/>
      <c r="P36" s="554"/>
      <c r="Q36" s="521"/>
      <c r="R36" s="219"/>
      <c r="S36" s="219"/>
    </row>
    <row r="37" spans="1:19" ht="15" customHeight="1" hidden="1" thickBot="1">
      <c r="A37" s="178" t="s">
        <v>10</v>
      </c>
      <c r="B37" s="214"/>
      <c r="C37" s="509" t="s">
        <v>249</v>
      </c>
      <c r="D37" s="500"/>
      <c r="E37" s="233"/>
      <c r="F37" s="233"/>
      <c r="G37" s="233"/>
      <c r="H37" s="570" t="s">
        <v>265</v>
      </c>
      <c r="I37" s="491"/>
      <c r="J37" s="500"/>
      <c r="K37" s="233"/>
      <c r="L37" s="233"/>
      <c r="M37" s="233"/>
      <c r="N37" s="570" t="s">
        <v>265</v>
      </c>
      <c r="O37" s="491"/>
      <c r="P37" s="555"/>
      <c r="Q37" s="490"/>
      <c r="R37" s="188"/>
      <c r="S37" s="188"/>
    </row>
    <row r="38" spans="1:19" ht="14.25" customHeight="1" hidden="1" thickBot="1">
      <c r="A38" s="198" t="s">
        <v>11</v>
      </c>
      <c r="B38" s="331"/>
      <c r="C38" s="510" t="s">
        <v>153</v>
      </c>
      <c r="D38" s="500"/>
      <c r="E38" s="233"/>
      <c r="F38" s="233"/>
      <c r="G38" s="233"/>
      <c r="H38" s="570"/>
      <c r="I38" s="491"/>
      <c r="J38" s="500"/>
      <c r="K38" s="233"/>
      <c r="L38" s="233"/>
      <c r="M38" s="233"/>
      <c r="N38" s="570"/>
      <c r="O38" s="491"/>
      <c r="P38" s="555"/>
      <c r="Q38" s="490"/>
      <c r="R38" s="188"/>
      <c r="S38" s="188"/>
    </row>
    <row r="39" spans="1:19" ht="13.5" hidden="1" thickBot="1">
      <c r="A39" s="178" t="s">
        <v>12</v>
      </c>
      <c r="B39" s="220"/>
      <c r="C39" s="511" t="s">
        <v>154</v>
      </c>
      <c r="D39" s="503">
        <f aca="true" t="shared" si="6" ref="D39:M39">D26+D32+D37+D38</f>
        <v>0</v>
      </c>
      <c r="E39" s="236">
        <f t="shared" si="6"/>
        <v>0</v>
      </c>
      <c r="F39" s="236">
        <f t="shared" si="6"/>
        <v>0</v>
      </c>
      <c r="G39" s="236">
        <f t="shared" si="6"/>
        <v>0</v>
      </c>
      <c r="H39" s="571" t="s">
        <v>265</v>
      </c>
      <c r="I39" s="491"/>
      <c r="J39" s="503">
        <f t="shared" si="6"/>
        <v>0</v>
      </c>
      <c r="K39" s="236">
        <f t="shared" si="6"/>
        <v>0</v>
      </c>
      <c r="L39" s="236">
        <f t="shared" si="6"/>
        <v>0</v>
      </c>
      <c r="M39" s="236">
        <f t="shared" si="6"/>
        <v>0</v>
      </c>
      <c r="N39" s="571" t="s">
        <v>265</v>
      </c>
      <c r="O39" s="491"/>
      <c r="P39" s="556"/>
      <c r="Q39" s="203"/>
      <c r="R39" s="221"/>
      <c r="S39" s="221"/>
    </row>
    <row r="40" spans="1:19" ht="13.5" hidden="1" thickBot="1">
      <c r="A40" s="333"/>
      <c r="B40" s="334"/>
      <c r="C40" s="334"/>
      <c r="D40" s="547"/>
      <c r="E40" s="548"/>
      <c r="F40" s="548"/>
      <c r="G40" s="548"/>
      <c r="H40" s="572"/>
      <c r="I40" s="335"/>
      <c r="J40" s="547"/>
      <c r="K40" s="548"/>
      <c r="L40" s="548"/>
      <c r="M40" s="548"/>
      <c r="N40" s="572"/>
      <c r="O40" s="335"/>
      <c r="P40" s="557"/>
      <c r="Q40" s="335"/>
      <c r="R40" s="335"/>
      <c r="S40" s="335"/>
    </row>
    <row r="41" spans="1:19" ht="13.5" hidden="1" thickBot="1">
      <c r="A41" s="224" t="s">
        <v>155</v>
      </c>
      <c r="B41" s="225"/>
      <c r="C41" s="512"/>
      <c r="D41" s="527"/>
      <c r="E41" s="241"/>
      <c r="F41" s="241"/>
      <c r="G41" s="241"/>
      <c r="H41" s="573"/>
      <c r="I41" s="491"/>
      <c r="J41" s="527"/>
      <c r="K41" s="241"/>
      <c r="L41" s="241"/>
      <c r="M41" s="241"/>
      <c r="N41" s="573"/>
      <c r="O41" s="491"/>
      <c r="P41" s="558"/>
      <c r="Q41" s="240"/>
      <c r="R41" s="240"/>
      <c r="S41" s="240"/>
    </row>
    <row r="42" spans="1:19" ht="13.5" hidden="1" thickBot="1">
      <c r="A42" s="224" t="s">
        <v>156</v>
      </c>
      <c r="B42" s="225"/>
      <c r="C42" s="512"/>
      <c r="D42" s="527"/>
      <c r="E42" s="241"/>
      <c r="F42" s="241"/>
      <c r="G42" s="241"/>
      <c r="H42" s="573"/>
      <c r="I42" s="491"/>
      <c r="J42" s="527"/>
      <c r="K42" s="241"/>
      <c r="L42" s="241"/>
      <c r="M42" s="241"/>
      <c r="N42" s="573"/>
      <c r="O42" s="491"/>
      <c r="P42" s="558"/>
      <c r="Q42" s="240"/>
      <c r="R42" s="240"/>
      <c r="S42" s="240"/>
    </row>
    <row r="43" ht="12.75" hidden="1"/>
    <row r="44" spans="1:9" ht="12.75" hidden="1">
      <c r="A44" s="1190" t="s">
        <v>157</v>
      </c>
      <c r="B44" s="1190"/>
      <c r="C44" s="1190"/>
      <c r="D44" s="1190"/>
      <c r="E44" s="314"/>
      <c r="F44" s="314"/>
      <c r="G44" s="314"/>
      <c r="H44" s="314"/>
      <c r="I44" s="314"/>
    </row>
    <row r="45" spans="1:9" ht="12.75" hidden="1">
      <c r="A45" s="1190"/>
      <c r="B45" s="1190"/>
      <c r="C45" s="1190"/>
      <c r="E45" s="337"/>
      <c r="F45" s="337"/>
      <c r="G45" s="337"/>
      <c r="H45" s="337"/>
      <c r="I45" s="337"/>
    </row>
    <row r="46" spans="4:9" ht="12.75" hidden="1">
      <c r="D46" s="337">
        <v>0</v>
      </c>
      <c r="E46" s="337"/>
      <c r="F46" s="337"/>
      <c r="G46" s="337"/>
      <c r="H46" s="337"/>
      <c r="I46" s="337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4"/>
  <sheetViews>
    <sheetView view="pageBreakPreview" zoomScale="60" zoomScaleNormal="70" workbookViewId="0" topLeftCell="D1">
      <selection activeCell="G29" sqref="G29"/>
    </sheetView>
  </sheetViews>
  <sheetFormatPr defaultColWidth="9.140625" defaultRowHeight="12.75"/>
  <cols>
    <col min="1" max="1" width="7.7109375" style="123" customWidth="1"/>
    <col min="2" max="2" width="3.8515625" style="130" customWidth="1"/>
    <col min="3" max="3" width="5.28125" style="130" customWidth="1"/>
    <col min="4" max="4" width="66.57421875" style="131" customWidth="1"/>
    <col min="5" max="5" width="22.57421875" style="1" customWidth="1"/>
    <col min="6" max="7" width="16.8515625" style="1" customWidth="1"/>
    <col min="8" max="10" width="16.8515625" style="1" hidden="1" customWidth="1"/>
    <col min="11" max="13" width="16.8515625" style="81" customWidth="1"/>
    <col min="14" max="18" width="16.8515625" style="81" hidden="1" customWidth="1"/>
    <col min="19" max="21" width="16.8515625" style="81" customWidth="1"/>
    <col min="22" max="24" width="16.8515625" style="81" hidden="1" customWidth="1"/>
    <col min="25" max="25" width="16.8515625" style="81" customWidth="1"/>
    <col min="26" max="27" width="16.8515625" style="1" customWidth="1"/>
    <col min="28" max="32" width="16.8515625" style="1" hidden="1" customWidth="1"/>
    <col min="33" max="33" width="16.8515625" style="1" customWidth="1"/>
    <col min="34" max="16384" width="9.140625" style="1" customWidth="1"/>
  </cols>
  <sheetData>
    <row r="1" spans="1:25" ht="24.75" customHeight="1">
      <c r="A1" s="1160" t="s">
        <v>8</v>
      </c>
      <c r="B1" s="1160"/>
      <c r="C1" s="1160"/>
      <c r="D1" s="1160"/>
      <c r="E1" s="1160"/>
      <c r="F1" s="1160"/>
      <c r="G1" s="1160"/>
      <c r="H1" s="1160"/>
      <c r="I1" s="1160"/>
      <c r="J1" s="1160"/>
      <c r="K1" s="1160"/>
      <c r="L1" s="1160"/>
      <c r="M1" s="1160"/>
      <c r="N1" s="1160"/>
      <c r="O1" s="1160"/>
      <c r="P1" s="1160"/>
      <c r="Q1" s="1160"/>
      <c r="R1" s="1160"/>
      <c r="S1" s="1160"/>
      <c r="T1" s="1160"/>
      <c r="U1" s="1160"/>
      <c r="V1" s="1160"/>
      <c r="W1" s="1160"/>
      <c r="X1" s="1160"/>
      <c r="Y1" s="1160"/>
    </row>
    <row r="2" spans="1:25" ht="14.25" customHeight="1" thickBot="1">
      <c r="A2" s="1048" t="s">
        <v>201</v>
      </c>
      <c r="B2" s="1048"/>
      <c r="C2" s="122"/>
      <c r="D2" s="141"/>
      <c r="Y2" s="138" t="s">
        <v>547</v>
      </c>
    </row>
    <row r="3" spans="1:31" s="2" customFormat="1" ht="48.75" customHeight="1" thickBot="1">
      <c r="A3" s="1161" t="s">
        <v>4</v>
      </c>
      <c r="B3" s="1132"/>
      <c r="C3" s="1132"/>
      <c r="D3" s="1132"/>
      <c r="E3" s="473" t="s">
        <v>5</v>
      </c>
      <c r="F3" s="418"/>
      <c r="G3" s="418"/>
      <c r="H3" s="418"/>
      <c r="I3" s="418"/>
      <c r="J3" s="419"/>
      <c r="K3" s="473" t="s">
        <v>66</v>
      </c>
      <c r="L3" s="418"/>
      <c r="M3" s="418"/>
      <c r="N3" s="418"/>
      <c r="O3" s="418"/>
      <c r="P3" s="418"/>
      <c r="Q3" s="1040"/>
      <c r="R3" s="419"/>
      <c r="S3" s="473" t="s">
        <v>67</v>
      </c>
      <c r="T3" s="418"/>
      <c r="U3" s="418"/>
      <c r="V3" s="418"/>
      <c r="W3" s="418"/>
      <c r="X3" s="419"/>
      <c r="Y3" s="1163" t="s">
        <v>71</v>
      </c>
      <c r="Z3" s="1164"/>
      <c r="AA3" s="1164"/>
      <c r="AB3" s="1164"/>
      <c r="AC3" s="1164"/>
      <c r="AD3" s="1164"/>
      <c r="AE3" s="1165"/>
    </row>
    <row r="4" spans="1:32" s="2" customFormat="1" ht="16.5" thickBot="1">
      <c r="A4" s="313"/>
      <c r="B4" s="311"/>
      <c r="C4" s="311"/>
      <c r="D4" s="311"/>
      <c r="E4" s="368" t="s">
        <v>70</v>
      </c>
      <c r="F4" s="369" t="s">
        <v>241</v>
      </c>
      <c r="G4" s="369" t="s">
        <v>244</v>
      </c>
      <c r="H4" s="369" t="s">
        <v>247</v>
      </c>
      <c r="I4" s="369" t="s">
        <v>263</v>
      </c>
      <c r="J4" s="370" t="s">
        <v>269</v>
      </c>
      <c r="K4" s="368" t="s">
        <v>70</v>
      </c>
      <c r="L4" s="369" t="s">
        <v>241</v>
      </c>
      <c r="M4" s="369" t="s">
        <v>244</v>
      </c>
      <c r="N4" s="369" t="s">
        <v>247</v>
      </c>
      <c r="O4" s="369"/>
      <c r="P4" s="369" t="s">
        <v>263</v>
      </c>
      <c r="Q4" s="369" t="s">
        <v>269</v>
      </c>
      <c r="R4" s="370" t="s">
        <v>251</v>
      </c>
      <c r="S4" s="368" t="s">
        <v>70</v>
      </c>
      <c r="T4" s="369" t="s">
        <v>241</v>
      </c>
      <c r="U4" s="369" t="s">
        <v>244</v>
      </c>
      <c r="V4" s="369" t="s">
        <v>247</v>
      </c>
      <c r="W4" s="369" t="s">
        <v>263</v>
      </c>
      <c r="X4" s="370" t="s">
        <v>269</v>
      </c>
      <c r="Y4" s="368" t="s">
        <v>70</v>
      </c>
      <c r="Z4" s="369" t="s">
        <v>241</v>
      </c>
      <c r="AA4" s="369" t="s">
        <v>244</v>
      </c>
      <c r="AB4" s="369" t="s">
        <v>247</v>
      </c>
      <c r="AC4" s="369" t="s">
        <v>263</v>
      </c>
      <c r="AD4" s="369" t="s">
        <v>269</v>
      </c>
      <c r="AE4" s="370" t="s">
        <v>269</v>
      </c>
      <c r="AF4" s="1002"/>
    </row>
    <row r="5" spans="1:31" s="80" customFormat="1" ht="33" customHeight="1" thickBot="1">
      <c r="A5" s="115" t="s">
        <v>30</v>
      </c>
      <c r="B5" s="1162" t="s">
        <v>83</v>
      </c>
      <c r="C5" s="1162"/>
      <c r="D5" s="1162"/>
      <c r="E5" s="371">
        <f aca="true" t="shared" si="0" ref="E5:M5">SUM(E6:E10)</f>
        <v>484100201</v>
      </c>
      <c r="F5" s="300">
        <f t="shared" si="0"/>
        <v>484281258</v>
      </c>
      <c r="G5" s="300">
        <f t="shared" si="0"/>
        <v>484813454</v>
      </c>
      <c r="H5" s="300">
        <f>SUM(H6:H10)</f>
        <v>0</v>
      </c>
      <c r="I5" s="300">
        <f>SUM(I6:I10)</f>
        <v>0</v>
      </c>
      <c r="J5" s="300">
        <f>SUM(J6:J10)</f>
        <v>0</v>
      </c>
      <c r="K5" s="371">
        <f t="shared" si="0"/>
        <v>468452408</v>
      </c>
      <c r="L5" s="300">
        <f>SUM(L6:L10)</f>
        <v>468633465</v>
      </c>
      <c r="M5" s="300">
        <f t="shared" si="0"/>
        <v>469155661</v>
      </c>
      <c r="N5" s="300">
        <f>SUM(N6:N10)</f>
        <v>0</v>
      </c>
      <c r="O5" s="300"/>
      <c r="P5" s="300">
        <f>SUM(P6:P10)</f>
        <v>0</v>
      </c>
      <c r="Q5" s="300">
        <f>SUM(Q6:Q10)</f>
        <v>0</v>
      </c>
      <c r="R5" s="824" t="e">
        <f>P5/N5</f>
        <v>#DIV/0!</v>
      </c>
      <c r="S5" s="371">
        <f aca="true" t="shared" si="1" ref="S5:AA5">SUM(S6:S10)</f>
        <v>15647793</v>
      </c>
      <c r="T5" s="300">
        <f>SUM(T6:T10)</f>
        <v>15647793</v>
      </c>
      <c r="U5" s="300">
        <f>SUM(U6:U10)</f>
        <v>15657793</v>
      </c>
      <c r="V5" s="300">
        <f>SUM(V6:V10)</f>
        <v>0</v>
      </c>
      <c r="W5" s="300">
        <f>SUM(W6:W10)</f>
        <v>0</v>
      </c>
      <c r="X5" s="300">
        <f>SUM(X6:X10)</f>
        <v>0</v>
      </c>
      <c r="Y5" s="371">
        <f t="shared" si="1"/>
        <v>4847310</v>
      </c>
      <c r="Z5" s="300">
        <f t="shared" si="1"/>
        <v>4847310</v>
      </c>
      <c r="AA5" s="300">
        <f t="shared" si="1"/>
        <v>4847310</v>
      </c>
      <c r="AB5" s="300">
        <f>SUM(AB6:AB10)</f>
        <v>0</v>
      </c>
      <c r="AC5" s="300">
        <f>SUM(AC6:AC10)</f>
        <v>0</v>
      </c>
      <c r="AD5" s="300">
        <f>SUM(AD6:AD10)</f>
        <v>0</v>
      </c>
      <c r="AE5" s="940">
        <f>SUM(AE6:AE10)</f>
        <v>0</v>
      </c>
    </row>
    <row r="6" spans="1:31" s="5" customFormat="1" ht="33" customHeight="1">
      <c r="A6" s="114"/>
      <c r="B6" s="119" t="s">
        <v>39</v>
      </c>
      <c r="C6" s="119"/>
      <c r="D6" s="361" t="s">
        <v>0</v>
      </c>
      <c r="E6" s="372">
        <f>'4.sz.m.ÖNK kiadás'!E7+'5.1 sz. m Köz Hiv'!D34+'5.2 sz. m ÁMK'!D38+'üres lap'!D27</f>
        <v>163677296</v>
      </c>
      <c r="F6" s="302">
        <f>'4.sz.m.ÖNK kiadás'!F7+'5.1 sz. m Köz Hiv'!E34+'5.2 sz. m ÁMK'!E38+'üres lap'!E27</f>
        <v>163677296</v>
      </c>
      <c r="G6" s="302">
        <f>'4.sz.m.ÖNK kiadás'!G7+'5.1 sz. m Köz Hiv'!F34+'5.2 sz. m ÁMK'!F38+'üres lap'!F27</f>
        <v>163677296</v>
      </c>
      <c r="H6" s="302">
        <f>'4.sz.m.ÖNK kiadás'!H7+'5.1 sz. m Köz Hiv'!G34+'5.2 sz. m ÁMK'!G38+'üres lap'!G27</f>
        <v>0</v>
      </c>
      <c r="I6" s="302">
        <f>'4.sz.m.ÖNK kiadás'!I7+'5.1 sz. m Köz Hiv'!H34+'5.2 sz. m ÁMK'!H38+'üres lap'!H27</f>
        <v>0</v>
      </c>
      <c r="J6" s="302">
        <f>'4.sz.m.ÖNK kiadás'!J7+'5.1 sz. m Köz Hiv'!I34+'5.2 sz. m ÁMK'!I38+'üres lap'!I27</f>
        <v>0</v>
      </c>
      <c r="K6" s="372">
        <f aca="true" t="shared" si="2" ref="K6:N13">E6-S6</f>
        <v>163677296</v>
      </c>
      <c r="L6" s="302">
        <f t="shared" si="2"/>
        <v>163677296</v>
      </c>
      <c r="M6" s="302">
        <f t="shared" si="2"/>
        <v>163677296</v>
      </c>
      <c r="N6" s="302">
        <f t="shared" si="2"/>
        <v>0</v>
      </c>
      <c r="O6" s="302"/>
      <c r="P6" s="302">
        <f aca="true" t="shared" si="3" ref="P6:Q13">I6-W6</f>
        <v>0</v>
      </c>
      <c r="Q6" s="302">
        <f t="shared" si="3"/>
        <v>0</v>
      </c>
      <c r="R6" s="830" t="e">
        <f>P6/N6</f>
        <v>#DIV/0!</v>
      </c>
      <c r="S6" s="372">
        <f>'4.sz.m.ÖNK kiadás'!S7</f>
        <v>0</v>
      </c>
      <c r="T6" s="302">
        <f>'4.sz.m.ÖNK kiadás'!T7</f>
        <v>0</v>
      </c>
      <c r="U6" s="302">
        <f>'4.sz.m.ÖNK kiadás'!U7</f>
        <v>0</v>
      </c>
      <c r="V6" s="302">
        <f>'4.sz.m.ÖNK kiadás'!V7</f>
        <v>0</v>
      </c>
      <c r="W6" s="302">
        <f>'4.sz.m.ÖNK kiadás'!W7</f>
        <v>0</v>
      </c>
      <c r="X6" s="302">
        <f>'4.sz.m.ÖNK kiadás'!X7</f>
        <v>0</v>
      </c>
      <c r="Y6" s="372">
        <f>'5.1 sz. m Köz Hiv'!S34</f>
        <v>2225600</v>
      </c>
      <c r="Z6" s="302">
        <f>'5.1 sz. m Köz Hiv'!T34</f>
        <v>2225600</v>
      </c>
      <c r="AA6" s="302">
        <f>'5.1 sz. m Köz Hiv'!U34</f>
        <v>2225600</v>
      </c>
      <c r="AB6" s="302">
        <f>'5.1 sz. m Köz Hiv'!V34</f>
        <v>0</v>
      </c>
      <c r="AC6" s="302">
        <f>'5.1 sz. m Köz Hiv'!W34</f>
        <v>0</v>
      </c>
      <c r="AD6" s="302">
        <f>'5.1 sz. m Köz Hiv'!X34</f>
        <v>0</v>
      </c>
      <c r="AE6" s="941">
        <f>'5.1 sz. m Köz Hiv'!AA34</f>
        <v>0</v>
      </c>
    </row>
    <row r="7" spans="1:31" s="5" customFormat="1" ht="33" customHeight="1">
      <c r="A7" s="97"/>
      <c r="B7" s="106" t="s">
        <v>40</v>
      </c>
      <c r="C7" s="106"/>
      <c r="D7" s="362" t="s">
        <v>84</v>
      </c>
      <c r="E7" s="372">
        <f>'4.sz.m.ÖNK kiadás'!E8+'5.1 sz. m Köz Hiv'!D35+'5.2 sz. m ÁMK'!D39+'üres lap'!D28</f>
        <v>43314099</v>
      </c>
      <c r="F7" s="302">
        <f>'4.sz.m.ÖNK kiadás'!F8+'5.1 sz. m Köz Hiv'!E35+'5.2 sz. m ÁMK'!E39+'üres lap'!E28</f>
        <v>43314099</v>
      </c>
      <c r="G7" s="302">
        <f>'4.sz.m.ÖNK kiadás'!G8+'5.1 sz. m Köz Hiv'!F35+'5.2 sz. m ÁMK'!F39+'üres lap'!F28</f>
        <v>43314099</v>
      </c>
      <c r="H7" s="302">
        <f>'4.sz.m.ÖNK kiadás'!H8+'5.1 sz. m Köz Hiv'!G35+'5.2 sz. m ÁMK'!G39+'üres lap'!G28</f>
        <v>0</v>
      </c>
      <c r="I7" s="302">
        <f>'4.sz.m.ÖNK kiadás'!I8+'5.1 sz. m Köz Hiv'!H35+'5.2 sz. m ÁMK'!H39+'üres lap'!H28</f>
        <v>0</v>
      </c>
      <c r="J7" s="302">
        <f>'4.sz.m.ÖNK kiadás'!J8+'5.1 sz. m Köz Hiv'!I35+'5.2 sz. m ÁMK'!I39+'üres lap'!I28</f>
        <v>0</v>
      </c>
      <c r="K7" s="372">
        <f t="shared" si="2"/>
        <v>43314099</v>
      </c>
      <c r="L7" s="302">
        <f t="shared" si="2"/>
        <v>43314099</v>
      </c>
      <c r="M7" s="302">
        <f t="shared" si="2"/>
        <v>43314099</v>
      </c>
      <c r="N7" s="302">
        <f t="shared" si="2"/>
        <v>0</v>
      </c>
      <c r="O7" s="302"/>
      <c r="P7" s="302">
        <f t="shared" si="3"/>
        <v>0</v>
      </c>
      <c r="Q7" s="302">
        <f t="shared" si="3"/>
        <v>0</v>
      </c>
      <c r="R7" s="830" t="e">
        <f aca="true" t="shared" si="4" ref="R7:R36">P7/N7</f>
        <v>#DIV/0!</v>
      </c>
      <c r="S7" s="372">
        <f>'4.sz.m.ÖNK kiadás'!S8</f>
        <v>0</v>
      </c>
      <c r="T7" s="302">
        <f>'4.sz.m.ÖNK kiadás'!T8</f>
        <v>0</v>
      </c>
      <c r="U7" s="302">
        <f>'4.sz.m.ÖNK kiadás'!U8</f>
        <v>0</v>
      </c>
      <c r="V7" s="302">
        <f>'4.sz.m.ÖNK kiadás'!V8</f>
        <v>0</v>
      </c>
      <c r="W7" s="302">
        <f>'4.sz.m.ÖNK kiadás'!W8</f>
        <v>0</v>
      </c>
      <c r="X7" s="302">
        <f>'4.sz.m.ÖNK kiadás'!X8</f>
        <v>0</v>
      </c>
      <c r="Y7" s="372">
        <f>'5.1 sz. m Köz Hiv'!S35</f>
        <v>568827</v>
      </c>
      <c r="Z7" s="302">
        <f>'5.1 sz. m Köz Hiv'!T35</f>
        <v>568827</v>
      </c>
      <c r="AA7" s="302">
        <f>'5.1 sz. m Köz Hiv'!U35</f>
        <v>568827</v>
      </c>
      <c r="AB7" s="302">
        <f>'5.1 sz. m Köz Hiv'!V35</f>
        <v>0</v>
      </c>
      <c r="AC7" s="302">
        <f>'5.1 sz. m Köz Hiv'!W35</f>
        <v>0</v>
      </c>
      <c r="AD7" s="302">
        <f>'5.1 sz. m Köz Hiv'!X35</f>
        <v>0</v>
      </c>
      <c r="AE7" s="941">
        <f>'5.1 sz. m Köz Hiv'!AA35</f>
        <v>0</v>
      </c>
    </row>
    <row r="8" spans="1:31" s="5" customFormat="1" ht="33" customHeight="1">
      <c r="A8" s="97"/>
      <c r="B8" s="106" t="s">
        <v>41</v>
      </c>
      <c r="C8" s="106"/>
      <c r="D8" s="362" t="s">
        <v>85</v>
      </c>
      <c r="E8" s="372">
        <f>'4.sz.m.ÖNK kiadás'!E9+'5.1 sz. m Köz Hiv'!D36+'5.2 sz. m ÁMK'!D40+'üres lap'!D29</f>
        <v>129033720</v>
      </c>
      <c r="F8" s="302">
        <f>'4.sz.m.ÖNK kiadás'!F9+'5.1 sz. m Köz Hiv'!E36+'5.2 sz. m ÁMK'!E40+'üres lap'!E29</f>
        <v>129033720</v>
      </c>
      <c r="G8" s="302">
        <f>'4.sz.m.ÖNK kiadás'!G9+'5.1 sz. m Köz Hiv'!F36+'5.2 sz. m ÁMK'!F40+'üres lap'!F29</f>
        <v>129553416</v>
      </c>
      <c r="H8" s="302">
        <f>'4.sz.m.ÖNK kiadás'!H9+'5.1 sz. m Köz Hiv'!G36+'5.2 sz. m ÁMK'!G40+'üres lap'!G29</f>
        <v>0</v>
      </c>
      <c r="I8" s="302">
        <f>'4.sz.m.ÖNK kiadás'!I9+'5.1 sz. m Köz Hiv'!H36+'5.2 sz. m ÁMK'!H40+'üres lap'!H29</f>
        <v>0</v>
      </c>
      <c r="J8" s="302">
        <f>'4.sz.m.ÖNK kiadás'!J9+'5.1 sz. m Köz Hiv'!I36+'5.2 sz. m ÁMK'!I40+'üres lap'!I29</f>
        <v>0</v>
      </c>
      <c r="K8" s="372">
        <f t="shared" si="2"/>
        <v>127191996</v>
      </c>
      <c r="L8" s="302">
        <f t="shared" si="2"/>
        <v>127191996</v>
      </c>
      <c r="M8" s="302">
        <f t="shared" si="2"/>
        <v>127711692</v>
      </c>
      <c r="N8" s="302">
        <f t="shared" si="2"/>
        <v>0</v>
      </c>
      <c r="O8" s="302"/>
      <c r="P8" s="302">
        <f t="shared" si="3"/>
        <v>0</v>
      </c>
      <c r="Q8" s="302">
        <f t="shared" si="3"/>
        <v>0</v>
      </c>
      <c r="R8" s="830" t="e">
        <f t="shared" si="4"/>
        <v>#DIV/0!</v>
      </c>
      <c r="S8" s="372">
        <f>'4.sz.m.ÖNK kiadás'!S9</f>
        <v>1841724</v>
      </c>
      <c r="T8" s="302">
        <f>'4.sz.m.ÖNK kiadás'!T9</f>
        <v>1841724</v>
      </c>
      <c r="U8" s="302">
        <f>'4.sz.m.ÖNK kiadás'!U9</f>
        <v>1841724</v>
      </c>
      <c r="V8" s="302">
        <f>'4.sz.m.ÖNK kiadás'!V9</f>
        <v>0</v>
      </c>
      <c r="W8" s="302">
        <f>'4.sz.m.ÖNK kiadás'!W9</f>
        <v>0</v>
      </c>
      <c r="X8" s="302">
        <f>'4.sz.m.ÖNK kiadás'!X9</f>
        <v>0</v>
      </c>
      <c r="Y8" s="372">
        <f>'5.1 sz. m Köz Hiv'!S36</f>
        <v>2052883</v>
      </c>
      <c r="Z8" s="302">
        <f>'5.1 sz. m Köz Hiv'!T36</f>
        <v>2052883</v>
      </c>
      <c r="AA8" s="302">
        <f>'5.1 sz. m Köz Hiv'!U36</f>
        <v>2052883</v>
      </c>
      <c r="AB8" s="302">
        <f>'5.1 sz. m Köz Hiv'!V36</f>
        <v>0</v>
      </c>
      <c r="AC8" s="302">
        <f>'5.1 sz. m Köz Hiv'!W36</f>
        <v>0</v>
      </c>
      <c r="AD8" s="302">
        <f>'5.1 sz. m Köz Hiv'!X36</f>
        <v>0</v>
      </c>
      <c r="AE8" s="941">
        <f>'5.1 sz. m Köz Hiv'!AA36</f>
        <v>0</v>
      </c>
    </row>
    <row r="9" spans="1:31" s="5" customFormat="1" ht="33" customHeight="1">
      <c r="A9" s="97"/>
      <c r="B9" s="106" t="s">
        <v>52</v>
      </c>
      <c r="C9" s="106"/>
      <c r="D9" s="362" t="s">
        <v>86</v>
      </c>
      <c r="E9" s="372">
        <f>'4.sz.m.ÖNK kiadás'!E10+'5.1 sz. m Köz Hiv'!D37+'5.2 sz. m ÁMK'!D41+'üres lap'!D30</f>
        <v>4774766</v>
      </c>
      <c r="F9" s="302">
        <f>'4.sz.m.ÖNK kiadás'!F10+'5.1 sz. m Köz Hiv'!E37+'5.2 sz. m ÁMK'!E41+'üres lap'!E30</f>
        <v>4774766</v>
      </c>
      <c r="G9" s="302">
        <f>'4.sz.m.ÖNK kiadás'!G10+'5.1 sz. m Köz Hiv'!F37+'5.2 sz. m ÁMK'!F41+'üres lap'!F30</f>
        <v>4777266</v>
      </c>
      <c r="H9" s="302">
        <f>'4.sz.m.ÖNK kiadás'!H10+'5.1 sz. m Köz Hiv'!G37+'5.2 sz. m ÁMK'!G41+'üres lap'!G30</f>
        <v>0</v>
      </c>
      <c r="I9" s="302">
        <f>'4.sz.m.ÖNK kiadás'!I10+'5.1 sz. m Köz Hiv'!H37+'5.2 sz. m ÁMK'!H41+'üres lap'!H30</f>
        <v>0</v>
      </c>
      <c r="J9" s="302">
        <f>'4.sz.m.ÖNK kiadás'!J10+'5.1 sz. m Köz Hiv'!I37+'5.2 sz. m ÁMK'!I41+'üres lap'!I30</f>
        <v>0</v>
      </c>
      <c r="K9" s="372">
        <f t="shared" si="2"/>
        <v>2024766</v>
      </c>
      <c r="L9" s="302">
        <f t="shared" si="2"/>
        <v>2024766</v>
      </c>
      <c r="M9" s="302">
        <f t="shared" si="2"/>
        <v>2027266</v>
      </c>
      <c r="N9" s="302">
        <f t="shared" si="2"/>
        <v>0</v>
      </c>
      <c r="O9" s="302"/>
      <c r="P9" s="302">
        <f t="shared" si="3"/>
        <v>0</v>
      </c>
      <c r="Q9" s="302">
        <f t="shared" si="3"/>
        <v>0</v>
      </c>
      <c r="R9" s="830" t="e">
        <f t="shared" si="4"/>
        <v>#DIV/0!</v>
      </c>
      <c r="S9" s="372">
        <f>'4.sz.m.ÖNK kiadás'!S10</f>
        <v>2750000</v>
      </c>
      <c r="T9" s="302">
        <f>'4.sz.m.ÖNK kiadás'!T10</f>
        <v>2750000</v>
      </c>
      <c r="U9" s="302">
        <f>'4.sz.m.ÖNK kiadás'!U10</f>
        <v>2750000</v>
      </c>
      <c r="V9" s="302">
        <f>'4.sz.m.ÖNK kiadás'!V10</f>
        <v>0</v>
      </c>
      <c r="W9" s="302">
        <f>'4.sz.m.ÖNK kiadás'!W10</f>
        <v>0</v>
      </c>
      <c r="X9" s="302">
        <f>'4.sz.m.ÖNK kiadás'!X10</f>
        <v>0</v>
      </c>
      <c r="Y9" s="372">
        <v>0</v>
      </c>
      <c r="Z9" s="302"/>
      <c r="AA9" s="302"/>
      <c r="AB9" s="302"/>
      <c r="AC9" s="302"/>
      <c r="AD9" s="302"/>
      <c r="AE9" s="941"/>
    </row>
    <row r="10" spans="1:31" s="5" customFormat="1" ht="33" customHeight="1">
      <c r="A10" s="97"/>
      <c r="B10" s="106" t="s">
        <v>53</v>
      </c>
      <c r="C10" s="106"/>
      <c r="D10" s="363" t="s">
        <v>88</v>
      </c>
      <c r="E10" s="372">
        <f aca="true" t="shared" si="5" ref="E10:J10">SUM(E11:E15)</f>
        <v>143300320</v>
      </c>
      <c r="F10" s="302">
        <f t="shared" si="5"/>
        <v>143481377</v>
      </c>
      <c r="G10" s="302">
        <f t="shared" si="5"/>
        <v>143491377</v>
      </c>
      <c r="H10" s="302">
        <f t="shared" si="5"/>
        <v>0</v>
      </c>
      <c r="I10" s="302">
        <f t="shared" si="5"/>
        <v>0</v>
      </c>
      <c r="J10" s="302">
        <f t="shared" si="5"/>
        <v>0</v>
      </c>
      <c r="K10" s="372">
        <f t="shared" si="2"/>
        <v>132244251</v>
      </c>
      <c r="L10" s="302">
        <f t="shared" si="2"/>
        <v>132425308</v>
      </c>
      <c r="M10" s="302">
        <f t="shared" si="2"/>
        <v>132425308</v>
      </c>
      <c r="N10" s="302">
        <f t="shared" si="2"/>
        <v>0</v>
      </c>
      <c r="O10" s="302"/>
      <c r="P10" s="302">
        <f t="shared" si="3"/>
        <v>0</v>
      </c>
      <c r="Q10" s="302">
        <f t="shared" si="3"/>
        <v>0</v>
      </c>
      <c r="R10" s="830" t="e">
        <f t="shared" si="4"/>
        <v>#DIV/0!</v>
      </c>
      <c r="S10" s="372">
        <f>'4.sz.m.ÖNK kiadás'!S11</f>
        <v>11056069</v>
      </c>
      <c r="T10" s="302">
        <f>'4.sz.m.ÖNK kiadás'!T11</f>
        <v>11056069</v>
      </c>
      <c r="U10" s="302">
        <f>'4.sz.m.ÖNK kiadás'!U11</f>
        <v>11066069</v>
      </c>
      <c r="V10" s="302">
        <f>'4.sz.m.ÖNK kiadás'!V11</f>
        <v>0</v>
      </c>
      <c r="W10" s="302">
        <f>'4.sz.m.ÖNK kiadás'!W11</f>
        <v>0</v>
      </c>
      <c r="X10" s="302">
        <f>'4.sz.m.ÖNK kiadás'!X11</f>
        <v>0</v>
      </c>
      <c r="Y10" s="372">
        <v>0</v>
      </c>
      <c r="Z10" s="302"/>
      <c r="AA10" s="302"/>
      <c r="AB10" s="302"/>
      <c r="AC10" s="302"/>
      <c r="AD10" s="302"/>
      <c r="AE10" s="941"/>
    </row>
    <row r="11" spans="1:31" s="5" customFormat="1" ht="33" customHeight="1">
      <c r="A11" s="97"/>
      <c r="B11" s="129"/>
      <c r="C11" s="106" t="s">
        <v>87</v>
      </c>
      <c r="D11" s="364" t="s">
        <v>297</v>
      </c>
      <c r="E11" s="372">
        <f>'4.sz.m.ÖNK kiadás'!E12</f>
        <v>0</v>
      </c>
      <c r="F11" s="302">
        <f>'4.sz.m.ÖNK kiadás'!F12</f>
        <v>181057</v>
      </c>
      <c r="G11" s="302">
        <f>'4.sz.m.ÖNK kiadás'!G12</f>
        <v>181057</v>
      </c>
      <c r="H11" s="302">
        <f>'4.sz.m.ÖNK kiadás'!H12+'5.1 sz. m Köz Hiv'!G38+'5.2 sz. m ÁMK'!G42</f>
        <v>0</v>
      </c>
      <c r="I11" s="302">
        <f>'4.sz.m.ÖNK kiadás'!I12+'5.1 sz. m Köz Hiv'!H38+'5.2 sz. m ÁMK'!H42</f>
        <v>0</v>
      </c>
      <c r="J11" s="302">
        <f>'4.sz.m.ÖNK kiadás'!J12+'5.1 sz. m Köz Hiv'!I38+'5.2 sz. m ÁMK'!I42-415</f>
        <v>-415</v>
      </c>
      <c r="K11" s="372">
        <f t="shared" si="2"/>
        <v>0</v>
      </c>
      <c r="L11" s="302">
        <f t="shared" si="2"/>
        <v>181057</v>
      </c>
      <c r="M11" s="302">
        <f t="shared" si="2"/>
        <v>181057</v>
      </c>
      <c r="N11" s="302">
        <f t="shared" si="2"/>
        <v>0</v>
      </c>
      <c r="O11" s="302"/>
      <c r="P11" s="302">
        <f t="shared" si="3"/>
        <v>0</v>
      </c>
      <c r="Q11" s="302">
        <f t="shared" si="3"/>
        <v>-415</v>
      </c>
      <c r="R11" s="830" t="e">
        <f t="shared" si="4"/>
        <v>#DIV/0!</v>
      </c>
      <c r="S11" s="372">
        <f>'4.sz.m.ÖNK kiadás'!S12</f>
        <v>0</v>
      </c>
      <c r="T11" s="302">
        <f>'4.sz.m.ÖNK kiadás'!T12</f>
        <v>0</v>
      </c>
      <c r="U11" s="302">
        <f>'4.sz.m.ÖNK kiadás'!U12</f>
        <v>0</v>
      </c>
      <c r="V11" s="302">
        <f>'4.sz.m.ÖNK kiadás'!V12</f>
        <v>0</v>
      </c>
      <c r="W11" s="302">
        <f>'4.sz.m.ÖNK kiadás'!W12</f>
        <v>0</v>
      </c>
      <c r="X11" s="302">
        <f>'4.sz.m.ÖNK kiadás'!X12</f>
        <v>0</v>
      </c>
      <c r="Y11" s="372">
        <v>0</v>
      </c>
      <c r="Z11" s="302"/>
      <c r="AA11" s="302"/>
      <c r="AB11" s="302"/>
      <c r="AC11" s="302"/>
      <c r="AD11" s="302"/>
      <c r="AE11" s="941"/>
    </row>
    <row r="12" spans="1:31" s="5" customFormat="1" ht="57.75" customHeight="1">
      <c r="A12" s="97"/>
      <c r="B12" s="106"/>
      <c r="C12" s="106" t="s">
        <v>89</v>
      </c>
      <c r="D12" s="362" t="s">
        <v>298</v>
      </c>
      <c r="E12" s="372">
        <f>'4.sz.m.ÖNK kiadás'!E13</f>
        <v>10018325</v>
      </c>
      <c r="F12" s="302">
        <f>'4.sz.m.ÖNK kiadás'!F13</f>
        <v>10018325</v>
      </c>
      <c r="G12" s="302">
        <f>'4.sz.m.ÖNK kiadás'!G13</f>
        <v>10028325</v>
      </c>
      <c r="H12" s="302">
        <f>'4.sz.m.ÖNK kiadás'!H13</f>
        <v>0</v>
      </c>
      <c r="I12" s="302">
        <f>'4.sz.m.ÖNK kiadás'!I13</f>
        <v>0</v>
      </c>
      <c r="J12" s="302">
        <f>'4.sz.m.ÖNK kiadás'!J13+415</f>
        <v>415</v>
      </c>
      <c r="K12" s="372">
        <f t="shared" si="2"/>
        <v>0</v>
      </c>
      <c r="L12" s="302">
        <f t="shared" si="2"/>
        <v>0</v>
      </c>
      <c r="M12" s="302">
        <f t="shared" si="2"/>
        <v>0</v>
      </c>
      <c r="N12" s="302">
        <f t="shared" si="2"/>
        <v>0</v>
      </c>
      <c r="O12" s="302"/>
      <c r="P12" s="302">
        <f t="shared" si="3"/>
        <v>0</v>
      </c>
      <c r="Q12" s="302">
        <f t="shared" si="3"/>
        <v>415</v>
      </c>
      <c r="R12" s="830"/>
      <c r="S12" s="372">
        <f>'4.sz.m.ÖNK kiadás'!S13</f>
        <v>10018325</v>
      </c>
      <c r="T12" s="302">
        <f>'4.sz.m.ÖNK kiadás'!T13</f>
        <v>10018325</v>
      </c>
      <c r="U12" s="302">
        <f>'4.sz.m.ÖNK kiadás'!U13</f>
        <v>10028325</v>
      </c>
      <c r="V12" s="302">
        <f>'4.sz.m.ÖNK kiadás'!V13</f>
        <v>0</v>
      </c>
      <c r="W12" s="302">
        <f>'4.sz.m.ÖNK kiadás'!W13</f>
        <v>0</v>
      </c>
      <c r="X12" s="302">
        <f>'4.sz.m.ÖNK kiadás'!X13</f>
        <v>0</v>
      </c>
      <c r="Y12" s="372">
        <v>0</v>
      </c>
      <c r="Z12" s="302"/>
      <c r="AA12" s="302"/>
      <c r="AB12" s="302"/>
      <c r="AC12" s="302"/>
      <c r="AD12" s="302"/>
      <c r="AE12" s="941"/>
    </row>
    <row r="13" spans="1:31" s="5" customFormat="1" ht="54.75" customHeight="1" thickBot="1">
      <c r="A13" s="125"/>
      <c r="B13" s="126"/>
      <c r="C13" s="106" t="s">
        <v>90</v>
      </c>
      <c r="D13" s="362" t="s">
        <v>299</v>
      </c>
      <c r="E13" s="372">
        <f>'4.sz.m.ÖNK kiadás'!E14</f>
        <v>133281995</v>
      </c>
      <c r="F13" s="302">
        <f>'4.sz.m.ÖNK kiadás'!F14</f>
        <v>133281995</v>
      </c>
      <c r="G13" s="302">
        <f>'4.sz.m.ÖNK kiadás'!G14</f>
        <v>133281995</v>
      </c>
      <c r="H13" s="302">
        <f>'4.sz.m.ÖNK kiadás'!H14</f>
        <v>0</v>
      </c>
      <c r="I13" s="302">
        <f>'4.sz.m.ÖNK kiadás'!I14</f>
        <v>0</v>
      </c>
      <c r="J13" s="302">
        <f>'4.sz.m.ÖNK kiadás'!J14</f>
        <v>0</v>
      </c>
      <c r="K13" s="372">
        <f t="shared" si="2"/>
        <v>132244251</v>
      </c>
      <c r="L13" s="302">
        <f t="shared" si="2"/>
        <v>132244251</v>
      </c>
      <c r="M13" s="302">
        <f t="shared" si="2"/>
        <v>132244251</v>
      </c>
      <c r="N13" s="302">
        <f t="shared" si="2"/>
        <v>0</v>
      </c>
      <c r="O13" s="302"/>
      <c r="P13" s="302">
        <f t="shared" si="3"/>
        <v>0</v>
      </c>
      <c r="Q13" s="302">
        <f t="shared" si="3"/>
        <v>0</v>
      </c>
      <c r="R13" s="830" t="e">
        <f t="shared" si="4"/>
        <v>#DIV/0!</v>
      </c>
      <c r="S13" s="372">
        <f>'4.sz.m.ÖNK kiadás'!S14</f>
        <v>1037744</v>
      </c>
      <c r="T13" s="302">
        <f>'4.sz.m.ÖNK kiadás'!T14</f>
        <v>1037744</v>
      </c>
      <c r="U13" s="302">
        <f>'4.sz.m.ÖNK kiadás'!U14</f>
        <v>1037744</v>
      </c>
      <c r="V13" s="302">
        <f>'4.sz.m.ÖNK kiadás'!V14</f>
        <v>0</v>
      </c>
      <c r="W13" s="302">
        <f>'4.sz.m.ÖNK kiadás'!W14</f>
        <v>0</v>
      </c>
      <c r="X13" s="302">
        <f>'4.sz.m.ÖNK kiadás'!X14</f>
        <v>0</v>
      </c>
      <c r="Y13" s="372">
        <v>0</v>
      </c>
      <c r="Z13" s="302"/>
      <c r="AA13" s="302"/>
      <c r="AB13" s="302"/>
      <c r="AC13" s="302"/>
      <c r="AD13" s="302"/>
      <c r="AE13" s="941"/>
    </row>
    <row r="14" spans="1:31" s="5" customFormat="1" ht="33" customHeight="1" hidden="1">
      <c r="A14" s="97"/>
      <c r="B14" s="106"/>
      <c r="C14" s="106" t="s">
        <v>93</v>
      </c>
      <c r="D14" s="362" t="s">
        <v>95</v>
      </c>
      <c r="E14" s="372"/>
      <c r="F14" s="302"/>
      <c r="G14" s="302"/>
      <c r="H14" s="302"/>
      <c r="I14" s="302"/>
      <c r="J14" s="302"/>
      <c r="K14" s="372"/>
      <c r="L14" s="302"/>
      <c r="M14" s="302"/>
      <c r="N14" s="302"/>
      <c r="O14" s="302"/>
      <c r="P14" s="302"/>
      <c r="Q14" s="302"/>
      <c r="R14" s="830" t="e">
        <f t="shared" si="4"/>
        <v>#DIV/0!</v>
      </c>
      <c r="S14" s="372">
        <f>'4.sz.m.ÖNK kiadás'!S15</f>
        <v>0</v>
      </c>
      <c r="T14" s="302">
        <f>'4.sz.m.ÖNK kiadás'!T15</f>
        <v>0</v>
      </c>
      <c r="U14" s="302">
        <f>'4.sz.m.ÖNK kiadás'!U15</f>
        <v>0</v>
      </c>
      <c r="V14" s="302">
        <f>'4.sz.m.ÖNK kiadás'!V15</f>
        <v>0</v>
      </c>
      <c r="W14" s="302">
        <f>'4.sz.m.ÖNK kiadás'!W15</f>
        <v>0</v>
      </c>
      <c r="X14" s="302">
        <f>'4.sz.m.ÖNK kiadás'!X15</f>
        <v>0</v>
      </c>
      <c r="Y14" s="372"/>
      <c r="Z14" s="302"/>
      <c r="AA14" s="302"/>
      <c r="AB14" s="302"/>
      <c r="AC14" s="302"/>
      <c r="AD14" s="302"/>
      <c r="AE14" s="941"/>
    </row>
    <row r="15" spans="1:31" s="5" customFormat="1" ht="33" customHeight="1" hidden="1" thickBot="1">
      <c r="A15" s="133"/>
      <c r="B15" s="120"/>
      <c r="C15" s="120" t="s">
        <v>94</v>
      </c>
      <c r="D15" s="365" t="s">
        <v>96</v>
      </c>
      <c r="E15" s="372"/>
      <c r="F15" s="302"/>
      <c r="G15" s="302"/>
      <c r="H15" s="302"/>
      <c r="I15" s="302"/>
      <c r="J15" s="302"/>
      <c r="K15" s="372"/>
      <c r="L15" s="302"/>
      <c r="M15" s="302"/>
      <c r="N15" s="302"/>
      <c r="O15" s="302"/>
      <c r="P15" s="302"/>
      <c r="Q15" s="302"/>
      <c r="R15" s="830" t="e">
        <f t="shared" si="4"/>
        <v>#DIV/0!</v>
      </c>
      <c r="S15" s="372">
        <f>'4.sz.m.ÖNK kiadás'!S16</f>
        <v>0</v>
      </c>
      <c r="T15" s="302">
        <f>'4.sz.m.ÖNK kiadás'!T16</f>
        <v>0</v>
      </c>
      <c r="U15" s="302">
        <f>'4.sz.m.ÖNK kiadás'!U16</f>
        <v>0</v>
      </c>
      <c r="V15" s="302">
        <f>'4.sz.m.ÖNK kiadás'!V16</f>
        <v>0</v>
      </c>
      <c r="W15" s="302">
        <f>'4.sz.m.ÖNK kiadás'!W16</f>
        <v>0</v>
      </c>
      <c r="X15" s="302">
        <f>'4.sz.m.ÖNK kiadás'!X16</f>
        <v>0</v>
      </c>
      <c r="Y15" s="372"/>
      <c r="Z15" s="302"/>
      <c r="AA15" s="302"/>
      <c r="AB15" s="302"/>
      <c r="AC15" s="302"/>
      <c r="AD15" s="302"/>
      <c r="AE15" s="941"/>
    </row>
    <row r="16" spans="1:31" s="5" customFormat="1" ht="33" customHeight="1" thickBot="1">
      <c r="A16" s="115" t="s">
        <v>31</v>
      </c>
      <c r="B16" s="1162" t="s">
        <v>97</v>
      </c>
      <c r="C16" s="1162"/>
      <c r="D16" s="1162"/>
      <c r="E16" s="373">
        <f aca="true" t="shared" si="6" ref="E16:M16">SUM(E17:E19)</f>
        <v>36406000</v>
      </c>
      <c r="F16" s="79">
        <f>SUM(F17:F19)</f>
        <v>36406000</v>
      </c>
      <c r="G16" s="79">
        <f t="shared" si="6"/>
        <v>35086401</v>
      </c>
      <c r="H16" s="79">
        <f>SUM(H17:H19)</f>
        <v>0</v>
      </c>
      <c r="I16" s="79">
        <f>SUM(I17:I19)</f>
        <v>0</v>
      </c>
      <c r="J16" s="79">
        <f>SUM(J17:J19)</f>
        <v>0</v>
      </c>
      <c r="K16" s="373">
        <f t="shared" si="6"/>
        <v>31406000</v>
      </c>
      <c r="L16" s="79">
        <f>SUM(L17:L19)</f>
        <v>31406000</v>
      </c>
      <c r="M16" s="79">
        <f t="shared" si="6"/>
        <v>30086401</v>
      </c>
      <c r="N16" s="79">
        <f>SUM(N17:N19)</f>
        <v>0</v>
      </c>
      <c r="O16" s="79"/>
      <c r="P16" s="79">
        <f>SUM(P17:P19)</f>
        <v>0</v>
      </c>
      <c r="Q16" s="79">
        <f>SUM(Q17:Q19)</f>
        <v>0</v>
      </c>
      <c r="R16" s="828" t="e">
        <f t="shared" si="4"/>
        <v>#DIV/0!</v>
      </c>
      <c r="S16" s="373">
        <f aca="true" t="shared" si="7" ref="S16:X16">SUM(S17:S19)</f>
        <v>5000000</v>
      </c>
      <c r="T16" s="79">
        <f t="shared" si="7"/>
        <v>5000000</v>
      </c>
      <c r="U16" s="79">
        <f t="shared" si="7"/>
        <v>5000000</v>
      </c>
      <c r="V16" s="79">
        <f t="shared" si="7"/>
        <v>0</v>
      </c>
      <c r="W16" s="79">
        <f t="shared" si="7"/>
        <v>0</v>
      </c>
      <c r="X16" s="79">
        <f t="shared" si="7"/>
        <v>0</v>
      </c>
      <c r="Y16" s="373">
        <f aca="true" t="shared" si="8" ref="Y16:AE16">SUM(Y17:Y19)</f>
        <v>0</v>
      </c>
      <c r="Z16" s="79">
        <f t="shared" si="8"/>
        <v>0</v>
      </c>
      <c r="AA16" s="79">
        <f t="shared" si="8"/>
        <v>0</v>
      </c>
      <c r="AB16" s="79">
        <f t="shared" si="8"/>
        <v>0</v>
      </c>
      <c r="AC16" s="79">
        <f t="shared" si="8"/>
        <v>0</v>
      </c>
      <c r="AD16" s="79">
        <f t="shared" si="8"/>
        <v>0</v>
      </c>
      <c r="AE16" s="942">
        <f t="shared" si="8"/>
        <v>0</v>
      </c>
    </row>
    <row r="17" spans="1:31" s="5" customFormat="1" ht="33" customHeight="1">
      <c r="A17" s="114"/>
      <c r="B17" s="119" t="s">
        <v>42</v>
      </c>
      <c r="C17" s="1167" t="s">
        <v>98</v>
      </c>
      <c r="D17" s="1167"/>
      <c r="E17" s="372">
        <f>'4.sz.m.ÖNK kiadás'!E18+'5.1 sz. m Köz Hiv'!D40+'5.2 sz. m ÁMK'!D44+'üres lap'!D33</f>
        <v>2406000</v>
      </c>
      <c r="F17" s="302">
        <f>'4.sz.m.ÖNK kiadás'!F18+'5.1 sz. m Köz Hiv'!E40+'5.2 sz. m ÁMK'!E44+'üres lap'!E33</f>
        <v>2406000</v>
      </c>
      <c r="G17" s="302">
        <f>'4.sz.m.ÖNK kiadás'!G18+'5.1 sz. m Köz Hiv'!F40+'5.2 sz. m ÁMK'!F44+'üres lap'!F33</f>
        <v>4682220</v>
      </c>
      <c r="H17" s="302">
        <f>'4.sz.m.ÖNK kiadás'!H18+'5.1 sz. m Köz Hiv'!G40+'5.2 sz. m ÁMK'!G44+'üres lap'!G33</f>
        <v>0</v>
      </c>
      <c r="I17" s="302">
        <f>'4.sz.m.ÖNK kiadás'!I18+'5.1 sz. m Köz Hiv'!H40+'5.2 sz. m ÁMK'!H44+'üres lap'!H33</f>
        <v>0</v>
      </c>
      <c r="J17" s="302">
        <f>'4.sz.m.ÖNK kiadás'!J18+'5.1 sz. m Köz Hiv'!I40+'5.2 sz. m ÁMK'!I44+'üres lap'!I33</f>
        <v>0</v>
      </c>
      <c r="K17" s="372">
        <f>'4.sz.m.ÖNK kiadás'!L18+'5.1 sz. m Köz Hiv'!L40+'5.2 sz. m ÁMK'!L44</f>
        <v>2406000</v>
      </c>
      <c r="L17" s="302">
        <f>'4.sz.m.ÖNK kiadás'!M18+'5.1 sz. m Köz Hiv'!M40+'5.2 sz. m ÁMK'!M44</f>
        <v>2406000</v>
      </c>
      <c r="M17" s="302">
        <f>'4.sz.m.ÖNK kiadás'!N18+'5.1 sz. m Köz Hiv'!N40+'5.2 sz. m ÁMK'!N44+'üres lap'!L33</f>
        <v>4682220</v>
      </c>
      <c r="N17" s="302">
        <f>'4.sz.m.ÖNK kiadás'!O18+'5.1 sz. m Köz Hiv'!O40+'5.2 sz. m ÁMK'!O44+'üres lap'!M33</f>
        <v>0</v>
      </c>
      <c r="O17" s="302"/>
      <c r="P17" s="302">
        <f>'4.sz.m.ÖNK kiadás'!P18+'5.1 sz. m Köz Hiv'!P40+'5.2 sz. m ÁMK'!P44+'üres lap'!N33</f>
        <v>0</v>
      </c>
      <c r="Q17" s="302">
        <f>'4.sz.m.ÖNK kiadás'!Q18+'5.1 sz. m Köz Hiv'!Q40+'5.2 sz. m ÁMK'!Q44+'üres lap'!O33</f>
        <v>0</v>
      </c>
      <c r="R17" s="830" t="e">
        <f t="shared" si="4"/>
        <v>#DIV/0!</v>
      </c>
      <c r="S17" s="372">
        <f>'4.sz.m.ÖNK kiadás'!S18</f>
        <v>0</v>
      </c>
      <c r="T17" s="302">
        <f>'4.sz.m.ÖNK kiadás'!T18</f>
        <v>0</v>
      </c>
      <c r="U17" s="302">
        <f>'4.sz.m.ÖNK kiadás'!U18</f>
        <v>0</v>
      </c>
      <c r="V17" s="302">
        <f>'4.sz.m.ÖNK kiadás'!V18</f>
        <v>0</v>
      </c>
      <c r="W17" s="302">
        <f>'4.sz.m.ÖNK kiadás'!W18</f>
        <v>0</v>
      </c>
      <c r="X17" s="302">
        <f>'4.sz.m.ÖNK kiadás'!X18</f>
        <v>0</v>
      </c>
      <c r="Y17" s="372">
        <v>0</v>
      </c>
      <c r="Z17" s="302"/>
      <c r="AA17" s="302"/>
      <c r="AB17" s="302"/>
      <c r="AC17" s="302"/>
      <c r="AD17" s="302"/>
      <c r="AE17" s="941"/>
    </row>
    <row r="18" spans="1:31" s="5" customFormat="1" ht="33" customHeight="1">
      <c r="A18" s="97"/>
      <c r="B18" s="106" t="s">
        <v>43</v>
      </c>
      <c r="C18" s="1168" t="s">
        <v>99</v>
      </c>
      <c r="D18" s="1168"/>
      <c r="E18" s="372">
        <f>'4.sz.m.ÖNK kiadás'!E19</f>
        <v>29000000</v>
      </c>
      <c r="F18" s="302">
        <f>'4.sz.m.ÖNK kiadás'!F19+'5.2 sz. m ÁMK'!E46</f>
        <v>29000000</v>
      </c>
      <c r="G18" s="302">
        <f>'4.sz.m.ÖNK kiadás'!G19+'5.2 sz. m ÁMK'!F46</f>
        <v>25404181</v>
      </c>
      <c r="H18" s="302">
        <f>'4.sz.m.ÖNK kiadás'!H19+'5.2 sz. m ÁMK'!G46</f>
        <v>0</v>
      </c>
      <c r="I18" s="302">
        <f>'4.sz.m.ÖNK kiadás'!I19+'5.2 sz. m ÁMK'!H46</f>
        <v>0</v>
      </c>
      <c r="J18" s="302">
        <f>'4.sz.m.ÖNK kiadás'!J19+'5.2 sz. m ÁMK'!I46</f>
        <v>0</v>
      </c>
      <c r="K18" s="372">
        <f>'4.sz.m.ÖNK kiadás'!L19+'5.1 sz. m Köz Hiv'!L41+'5.2 sz. m ÁMK'!L45</f>
        <v>29000000</v>
      </c>
      <c r="L18" s="302">
        <f>'4.sz.m.ÖNK kiadás'!M19+'5.1 sz. m Köz Hiv'!M41+'5.2 sz. m ÁMK'!M45</f>
        <v>29000000</v>
      </c>
      <c r="M18" s="302">
        <f>'4.sz.m.ÖNK kiadás'!N19+'5.2 sz. m ÁMK'!N46</f>
        <v>25404181</v>
      </c>
      <c r="N18" s="302">
        <f>'4.sz.m.ÖNK kiadás'!O19+'5.2 sz. m ÁMK'!O46</f>
        <v>0</v>
      </c>
      <c r="O18" s="302"/>
      <c r="P18" s="302">
        <f>'4.sz.m.ÖNK kiadás'!P19+'5.2 sz. m ÁMK'!P46</f>
        <v>0</v>
      </c>
      <c r="Q18" s="302">
        <f>'4.sz.m.ÖNK kiadás'!Q19+'5.2 sz. m ÁMK'!Q46</f>
        <v>0</v>
      </c>
      <c r="R18" s="830" t="e">
        <f t="shared" si="4"/>
        <v>#DIV/0!</v>
      </c>
      <c r="S18" s="372">
        <f>'4.sz.m.ÖNK kiadás'!S19</f>
        <v>0</v>
      </c>
      <c r="T18" s="302">
        <f>'4.sz.m.ÖNK kiadás'!T19</f>
        <v>0</v>
      </c>
      <c r="U18" s="302">
        <f>'4.sz.m.ÖNK kiadás'!U19</f>
        <v>0</v>
      </c>
      <c r="V18" s="302">
        <f>'4.sz.m.ÖNK kiadás'!V19</f>
        <v>0</v>
      </c>
      <c r="W18" s="302">
        <f>'4.sz.m.ÖNK kiadás'!W19</f>
        <v>0</v>
      </c>
      <c r="X18" s="302">
        <f>'4.sz.m.ÖNK kiadás'!X19</f>
        <v>0</v>
      </c>
      <c r="Y18" s="372">
        <v>0</v>
      </c>
      <c r="Z18" s="302"/>
      <c r="AA18" s="302"/>
      <c r="AB18" s="302"/>
      <c r="AC18" s="302"/>
      <c r="AD18" s="302"/>
      <c r="AE18" s="941"/>
    </row>
    <row r="19" spans="1:31" s="5" customFormat="1" ht="33" customHeight="1">
      <c r="A19" s="127"/>
      <c r="B19" s="106" t="s">
        <v>44</v>
      </c>
      <c r="C19" s="1159" t="s">
        <v>100</v>
      </c>
      <c r="D19" s="1159"/>
      <c r="E19" s="372">
        <f>'4.sz.m.ÖNK kiadás'!E20</f>
        <v>5000000</v>
      </c>
      <c r="F19" s="302">
        <f>'4.sz.m.ÖNK kiadás'!F20</f>
        <v>5000000</v>
      </c>
      <c r="G19" s="302">
        <f>'4.sz.m.ÖNK kiadás'!G20</f>
        <v>5000000</v>
      </c>
      <c r="H19" s="302">
        <f>'4.sz.m.ÖNK kiadás'!H20</f>
        <v>0</v>
      </c>
      <c r="I19" s="302">
        <f>'4.sz.m.ÖNK kiadás'!I20</f>
        <v>0</v>
      </c>
      <c r="J19" s="302">
        <f>'4.sz.m.ÖNK kiadás'!J20</f>
        <v>0</v>
      </c>
      <c r="K19" s="372">
        <f>'4.sz.m.ÖNK kiadás'!L20</f>
        <v>0</v>
      </c>
      <c r="L19" s="302">
        <f>'4.sz.m.ÖNK kiadás'!M20</f>
        <v>0</v>
      </c>
      <c r="M19" s="302">
        <f>'4.sz.m.ÖNK kiadás'!N20</f>
        <v>0</v>
      </c>
      <c r="N19" s="302">
        <f>'4.sz.m.ÖNK kiadás'!O20</f>
        <v>0</v>
      </c>
      <c r="O19" s="302"/>
      <c r="P19" s="302">
        <f>'4.sz.m.ÖNK kiadás'!P20</f>
        <v>0</v>
      </c>
      <c r="Q19" s="302">
        <f>'4.sz.m.ÖNK kiadás'!Q20</f>
        <v>0</v>
      </c>
      <c r="R19" s="830"/>
      <c r="S19" s="372">
        <f>'4.sz.m.ÖNK kiadás'!S20</f>
        <v>5000000</v>
      </c>
      <c r="T19" s="302">
        <f>'4.sz.m.ÖNK kiadás'!T20</f>
        <v>5000000</v>
      </c>
      <c r="U19" s="302">
        <f>'4.sz.m.ÖNK kiadás'!U20</f>
        <v>5000000</v>
      </c>
      <c r="V19" s="302">
        <f>'4.sz.m.ÖNK kiadás'!V20</f>
        <v>0</v>
      </c>
      <c r="W19" s="302">
        <f>'4.sz.m.ÖNK kiadás'!W20</f>
        <v>0</v>
      </c>
      <c r="X19" s="302">
        <f>'4.sz.m.ÖNK kiadás'!X20</f>
        <v>0</v>
      </c>
      <c r="Y19" s="372">
        <v>0</v>
      </c>
      <c r="Z19" s="302"/>
      <c r="AA19" s="302"/>
      <c r="AB19" s="302"/>
      <c r="AC19" s="302"/>
      <c r="AD19" s="302"/>
      <c r="AE19" s="941"/>
    </row>
    <row r="20" spans="1:31" s="5" customFormat="1" ht="33" customHeight="1">
      <c r="A20" s="103"/>
      <c r="B20" s="107"/>
      <c r="C20" s="107" t="s">
        <v>101</v>
      </c>
      <c r="D20" s="257" t="s">
        <v>91</v>
      </c>
      <c r="E20" s="372">
        <f>'4.sz.m.ÖNK kiadás'!E21</f>
        <v>5000000</v>
      </c>
      <c r="F20" s="302">
        <f>'4.sz.m.ÖNK kiadás'!F21</f>
        <v>5000000</v>
      </c>
      <c r="G20" s="302">
        <f>'4.sz.m.ÖNK kiadás'!G21</f>
        <v>5000000</v>
      </c>
      <c r="H20" s="302">
        <f>'4.sz.m.ÖNK kiadás'!H21</f>
        <v>0</v>
      </c>
      <c r="I20" s="302">
        <f>'4.sz.m.ÖNK kiadás'!I21</f>
        <v>0</v>
      </c>
      <c r="J20" s="302">
        <f>'4.sz.m.ÖNK kiadás'!J21</f>
        <v>0</v>
      </c>
      <c r="K20" s="372">
        <f>'4.sz.m.ÖNK kiadás'!L21</f>
        <v>0</v>
      </c>
      <c r="L20" s="302">
        <f>'4.sz.m.ÖNK kiadás'!M21</f>
        <v>0</v>
      </c>
      <c r="M20" s="302">
        <f>'4.sz.m.ÖNK kiadás'!N21</f>
        <v>0</v>
      </c>
      <c r="N20" s="302">
        <f>'4.sz.m.ÖNK kiadás'!O21</f>
        <v>0</v>
      </c>
      <c r="O20" s="302"/>
      <c r="P20" s="302">
        <f>'4.sz.m.ÖNK kiadás'!P21</f>
        <v>0</v>
      </c>
      <c r="Q20" s="302">
        <f>'4.sz.m.ÖNK kiadás'!Q21</f>
        <v>0</v>
      </c>
      <c r="R20" s="830"/>
      <c r="S20" s="372">
        <f>'4.sz.m.ÖNK kiadás'!S21</f>
        <v>5000000</v>
      </c>
      <c r="T20" s="302">
        <f>'4.sz.m.ÖNK kiadás'!T21</f>
        <v>5000000</v>
      </c>
      <c r="U20" s="302">
        <f>'4.sz.m.ÖNK kiadás'!U21</f>
        <v>5000000</v>
      </c>
      <c r="V20" s="302">
        <f>'4.sz.m.ÖNK kiadás'!V21</f>
        <v>0</v>
      </c>
      <c r="W20" s="302">
        <f>'4.sz.m.ÖNK kiadás'!W21</f>
        <v>0</v>
      </c>
      <c r="X20" s="302">
        <f>'4.sz.m.ÖNK kiadás'!X21</f>
        <v>0</v>
      </c>
      <c r="Y20" s="372">
        <v>0</v>
      </c>
      <c r="Z20" s="302"/>
      <c r="AA20" s="302"/>
      <c r="AB20" s="302"/>
      <c r="AC20" s="302"/>
      <c r="AD20" s="302"/>
      <c r="AE20" s="941"/>
    </row>
    <row r="21" spans="1:31" s="5" customFormat="1" ht="33" customHeight="1">
      <c r="A21" s="103"/>
      <c r="B21" s="107"/>
      <c r="C21" s="107" t="s">
        <v>102</v>
      </c>
      <c r="D21" s="257" t="s">
        <v>92</v>
      </c>
      <c r="E21" s="372">
        <f>'4.sz.m.ÖNK kiadás'!E22</f>
        <v>0</v>
      </c>
      <c r="F21" s="302">
        <f>'4.sz.m.ÖNK kiadás'!F22</f>
        <v>0</v>
      </c>
      <c r="G21" s="302">
        <f>'4.sz.m.ÖNK kiadás'!G22</f>
        <v>0</v>
      </c>
      <c r="H21" s="302">
        <f>'4.sz.m.ÖNK kiadás'!H22</f>
        <v>0</v>
      </c>
      <c r="I21" s="302">
        <f>'4.sz.m.ÖNK kiadás'!I22</f>
        <v>0</v>
      </c>
      <c r="J21" s="302">
        <f>'4.sz.m.ÖNK kiadás'!J22</f>
        <v>0</v>
      </c>
      <c r="K21" s="372">
        <f>'4.sz.m.ÖNK kiadás'!L22</f>
        <v>0</v>
      </c>
      <c r="L21" s="302">
        <f>'4.sz.m.ÖNK kiadás'!M22</f>
        <v>0</v>
      </c>
      <c r="M21" s="302">
        <f>'4.sz.m.ÖNK kiadás'!N22</f>
        <v>0</v>
      </c>
      <c r="N21" s="302">
        <f>'4.sz.m.ÖNK kiadás'!O22</f>
        <v>0</v>
      </c>
      <c r="O21" s="302"/>
      <c r="P21" s="302">
        <f>'4.sz.m.ÖNK kiadás'!P22</f>
        <v>0</v>
      </c>
      <c r="Q21" s="302">
        <f>'4.sz.m.ÖNK kiadás'!Q22</f>
        <v>0</v>
      </c>
      <c r="R21" s="830"/>
      <c r="S21" s="372">
        <v>0</v>
      </c>
      <c r="T21" s="302"/>
      <c r="U21" s="302"/>
      <c r="V21" s="302"/>
      <c r="W21" s="302"/>
      <c r="X21" s="302"/>
      <c r="Y21" s="372">
        <v>0</v>
      </c>
      <c r="Z21" s="302"/>
      <c r="AA21" s="302"/>
      <c r="AB21" s="302"/>
      <c r="AC21" s="302"/>
      <c r="AD21" s="302"/>
      <c r="AE21" s="941"/>
    </row>
    <row r="22" spans="1:31" s="5" customFormat="1" ht="33" customHeight="1">
      <c r="A22" s="127"/>
      <c r="B22" s="257"/>
      <c r="C22" s="107" t="s">
        <v>103</v>
      </c>
      <c r="D22" s="257" t="s">
        <v>95</v>
      </c>
      <c r="E22" s="372">
        <f>'4.sz.m.ÖNK kiadás'!E23</f>
        <v>0</v>
      </c>
      <c r="F22" s="302">
        <f>'4.sz.m.ÖNK kiadás'!F23</f>
        <v>0</v>
      </c>
      <c r="G22" s="302">
        <f>'4.sz.m.ÖNK kiadás'!G23</f>
        <v>0</v>
      </c>
      <c r="H22" s="302">
        <f>'4.sz.m.ÖNK kiadás'!H23</f>
        <v>0</v>
      </c>
      <c r="I22" s="302">
        <f>'4.sz.m.ÖNK kiadás'!I23</f>
        <v>0</v>
      </c>
      <c r="J22" s="302">
        <f>'4.sz.m.ÖNK kiadás'!J23</f>
        <v>0</v>
      </c>
      <c r="K22" s="372">
        <f>'4.sz.m.ÖNK kiadás'!L23</f>
        <v>0</v>
      </c>
      <c r="L22" s="302">
        <f>'4.sz.m.ÖNK kiadás'!M23</f>
        <v>0</v>
      </c>
      <c r="M22" s="302">
        <f>'4.sz.m.ÖNK kiadás'!N23</f>
        <v>0</v>
      </c>
      <c r="N22" s="302">
        <f>'4.sz.m.ÖNK kiadás'!O23</f>
        <v>0</v>
      </c>
      <c r="O22" s="302"/>
      <c r="P22" s="302">
        <f>'4.sz.m.ÖNK kiadás'!P23</f>
        <v>0</v>
      </c>
      <c r="Q22" s="302">
        <f>'4.sz.m.ÖNK kiadás'!Q23</f>
        <v>0</v>
      </c>
      <c r="R22" s="830"/>
      <c r="S22" s="372">
        <v>0</v>
      </c>
      <c r="T22" s="302"/>
      <c r="U22" s="302"/>
      <c r="V22" s="302"/>
      <c r="W22" s="302"/>
      <c r="X22" s="302"/>
      <c r="Y22" s="372">
        <v>0</v>
      </c>
      <c r="Z22" s="302"/>
      <c r="AA22" s="302"/>
      <c r="AB22" s="302"/>
      <c r="AC22" s="302"/>
      <c r="AD22" s="302"/>
      <c r="AE22" s="941"/>
    </row>
    <row r="23" spans="1:31" s="5" customFormat="1" ht="33" customHeight="1" thickBot="1">
      <c r="A23" s="282"/>
      <c r="B23" s="283"/>
      <c r="C23" s="284" t="s">
        <v>217</v>
      </c>
      <c r="D23" s="283" t="s">
        <v>218</v>
      </c>
      <c r="E23" s="372">
        <f>'4.sz.m.ÖNK kiadás'!E24</f>
        <v>0</v>
      </c>
      <c r="F23" s="302">
        <f>'4.sz.m.ÖNK kiadás'!F24</f>
        <v>0</v>
      </c>
      <c r="G23" s="302">
        <f>'4.sz.m.ÖNK kiadás'!G24</f>
        <v>0</v>
      </c>
      <c r="H23" s="302">
        <f>'4.sz.m.ÖNK kiadás'!H24</f>
        <v>0</v>
      </c>
      <c r="I23" s="302">
        <f>'4.sz.m.ÖNK kiadás'!I24</f>
        <v>0</v>
      </c>
      <c r="J23" s="302">
        <f>'4.sz.m.ÖNK kiadás'!J24</f>
        <v>0</v>
      </c>
      <c r="K23" s="372">
        <f>'4.sz.m.ÖNK kiadás'!L24</f>
        <v>0</v>
      </c>
      <c r="L23" s="302">
        <f>'4.sz.m.ÖNK kiadás'!M24</f>
        <v>0</v>
      </c>
      <c r="M23" s="302">
        <f>'4.sz.m.ÖNK kiadás'!N24</f>
        <v>0</v>
      </c>
      <c r="N23" s="302">
        <f>'4.sz.m.ÖNK kiadás'!O24</f>
        <v>0</v>
      </c>
      <c r="O23" s="302"/>
      <c r="P23" s="302">
        <f>'4.sz.m.ÖNK kiadás'!P24</f>
        <v>0</v>
      </c>
      <c r="Q23" s="302">
        <f>'4.sz.m.ÖNK kiadás'!Q24</f>
        <v>0</v>
      </c>
      <c r="R23" s="830"/>
      <c r="S23" s="372">
        <v>0</v>
      </c>
      <c r="T23" s="302"/>
      <c r="U23" s="302"/>
      <c r="V23" s="302"/>
      <c r="W23" s="302"/>
      <c r="X23" s="302"/>
      <c r="Y23" s="372">
        <v>0</v>
      </c>
      <c r="Z23" s="302"/>
      <c r="AA23" s="302"/>
      <c r="AB23" s="302"/>
      <c r="AC23" s="302"/>
      <c r="AD23" s="302"/>
      <c r="AE23" s="941"/>
    </row>
    <row r="24" spans="1:31" s="5" customFormat="1" ht="33" customHeight="1" thickBot="1">
      <c r="A24" s="115" t="s">
        <v>10</v>
      </c>
      <c r="B24" s="1162" t="s">
        <v>104</v>
      </c>
      <c r="C24" s="1162"/>
      <c r="D24" s="1162"/>
      <c r="E24" s="373">
        <f aca="true" t="shared" si="9" ref="E24:M24">SUM(E25:E27)</f>
        <v>87607657</v>
      </c>
      <c r="F24" s="79">
        <f>SUM(F25:F27)</f>
        <v>58656600</v>
      </c>
      <c r="G24" s="79">
        <f t="shared" si="9"/>
        <v>59503503</v>
      </c>
      <c r="H24" s="79">
        <f>SUM(H25:H27)</f>
        <v>0</v>
      </c>
      <c r="I24" s="79">
        <f>SUM(I25:I27)</f>
        <v>0</v>
      </c>
      <c r="J24" s="79">
        <f>SUM(J25:J27)</f>
        <v>0</v>
      </c>
      <c r="K24" s="373">
        <f t="shared" si="9"/>
        <v>87607657</v>
      </c>
      <c r="L24" s="79">
        <f>SUM(L25:L27)</f>
        <v>58656600</v>
      </c>
      <c r="M24" s="79">
        <f t="shared" si="9"/>
        <v>59503503</v>
      </c>
      <c r="N24" s="79">
        <f>SUM(N25:N27)</f>
        <v>0</v>
      </c>
      <c r="O24" s="79"/>
      <c r="P24" s="79">
        <f>SUM(P25:P27)</f>
        <v>0</v>
      </c>
      <c r="Q24" s="79">
        <f>SUM(Q25:Q27)</f>
        <v>0</v>
      </c>
      <c r="R24" s="828" t="e">
        <f t="shared" si="4"/>
        <v>#DIV/0!</v>
      </c>
      <c r="S24" s="373">
        <f aca="true" t="shared" si="10" ref="S24:AA24">SUM(S25:S27)</f>
        <v>0</v>
      </c>
      <c r="T24" s="79">
        <f>SUM(T25:T27)</f>
        <v>0</v>
      </c>
      <c r="U24" s="79">
        <f>SUM(U25:U27)</f>
        <v>0</v>
      </c>
      <c r="V24" s="79">
        <f>SUM(V25:V27)</f>
        <v>0</v>
      </c>
      <c r="W24" s="79">
        <f>SUM(W25:W27)</f>
        <v>0</v>
      </c>
      <c r="X24" s="79">
        <f>SUM(X25:X27)</f>
        <v>0</v>
      </c>
      <c r="Y24" s="373">
        <f t="shared" si="10"/>
        <v>0</v>
      </c>
      <c r="Z24" s="79">
        <f t="shared" si="10"/>
        <v>0</v>
      </c>
      <c r="AA24" s="79">
        <f t="shared" si="10"/>
        <v>0</v>
      </c>
      <c r="AB24" s="79">
        <f>SUM(AB25:AB27)</f>
        <v>0</v>
      </c>
      <c r="AC24" s="79">
        <f>SUM(AC25:AC27)</f>
        <v>0</v>
      </c>
      <c r="AD24" s="79">
        <f>SUM(AD25:AD27)</f>
        <v>0</v>
      </c>
      <c r="AE24" s="942">
        <f>SUM(AE25:AE27)</f>
        <v>0</v>
      </c>
    </row>
    <row r="25" spans="1:31" s="5" customFormat="1" ht="33" customHeight="1">
      <c r="A25" s="114"/>
      <c r="B25" s="119" t="s">
        <v>45</v>
      </c>
      <c r="C25" s="1167" t="s">
        <v>3</v>
      </c>
      <c r="D25" s="1167"/>
      <c r="E25" s="372">
        <f>'4.sz.m.ÖNK kiadás'!E26</f>
        <v>87607657</v>
      </c>
      <c r="F25" s="302">
        <f>'4.sz.m.ÖNK kiadás'!F26</f>
        <v>58656600</v>
      </c>
      <c r="G25" s="302">
        <f>'4.sz.m.ÖNK kiadás'!G26</f>
        <v>59503503</v>
      </c>
      <c r="H25" s="302">
        <f>'4.sz.m.ÖNK kiadás'!H26</f>
        <v>0</v>
      </c>
      <c r="I25" s="302">
        <f>'4.sz.m.ÖNK kiadás'!I26</f>
        <v>0</v>
      </c>
      <c r="J25" s="302">
        <f>'4.sz.m.ÖNK kiadás'!J26</f>
        <v>0</v>
      </c>
      <c r="K25" s="372">
        <f>'4.sz.m.ÖNK kiadás'!L26</f>
        <v>87607657</v>
      </c>
      <c r="L25" s="302">
        <f>'4.sz.m.ÖNK kiadás'!M26</f>
        <v>58656600</v>
      </c>
      <c r="M25" s="302">
        <f>'4.sz.m.ÖNK kiadás'!N26</f>
        <v>59503503</v>
      </c>
      <c r="N25" s="302">
        <f>'4.sz.m.ÖNK kiadás'!O26</f>
        <v>0</v>
      </c>
      <c r="O25" s="302"/>
      <c r="P25" s="302">
        <f>'4.sz.m.ÖNK kiadás'!P26</f>
        <v>0</v>
      </c>
      <c r="Q25" s="302">
        <f>'4.sz.m.ÖNK kiadás'!Q26</f>
        <v>0</v>
      </c>
      <c r="R25" s="830" t="e">
        <f t="shared" si="4"/>
        <v>#DIV/0!</v>
      </c>
      <c r="S25" s="372">
        <v>0</v>
      </c>
      <c r="T25" s="302"/>
      <c r="U25" s="302"/>
      <c r="V25" s="302"/>
      <c r="W25" s="302"/>
      <c r="X25" s="302"/>
      <c r="Y25" s="372">
        <v>0</v>
      </c>
      <c r="Z25" s="302"/>
      <c r="AA25" s="302"/>
      <c r="AB25" s="302"/>
      <c r="AC25" s="302"/>
      <c r="AD25" s="302"/>
      <c r="AE25" s="941"/>
    </row>
    <row r="26" spans="1:31" s="8" customFormat="1" ht="33" customHeight="1">
      <c r="A26" s="128"/>
      <c r="B26" s="106" t="s">
        <v>46</v>
      </c>
      <c r="C26" s="1166" t="s">
        <v>300</v>
      </c>
      <c r="D26" s="1166"/>
      <c r="E26" s="372">
        <v>0</v>
      </c>
      <c r="F26" s="302"/>
      <c r="G26" s="302"/>
      <c r="H26" s="302"/>
      <c r="I26" s="302"/>
      <c r="J26" s="302"/>
      <c r="K26" s="372">
        <v>0</v>
      </c>
      <c r="L26" s="302"/>
      <c r="M26" s="302"/>
      <c r="N26" s="302"/>
      <c r="O26" s="302"/>
      <c r="P26" s="302"/>
      <c r="Q26" s="302"/>
      <c r="R26" s="830"/>
      <c r="S26" s="372">
        <v>0</v>
      </c>
      <c r="T26" s="302"/>
      <c r="U26" s="302"/>
      <c r="V26" s="302"/>
      <c r="W26" s="302"/>
      <c r="X26" s="302"/>
      <c r="Y26" s="372">
        <v>0</v>
      </c>
      <c r="Z26" s="302"/>
      <c r="AA26" s="302"/>
      <c r="AB26" s="302"/>
      <c r="AC26" s="302"/>
      <c r="AD26" s="302"/>
      <c r="AE26" s="941"/>
    </row>
    <row r="27" spans="1:31" s="8" customFormat="1" ht="33" customHeight="1" thickBot="1">
      <c r="A27" s="134"/>
      <c r="B27" s="120" t="s">
        <v>72</v>
      </c>
      <c r="C27" s="135" t="s">
        <v>105</v>
      </c>
      <c r="D27" s="135"/>
      <c r="E27" s="372">
        <v>0</v>
      </c>
      <c r="F27" s="302"/>
      <c r="G27" s="302"/>
      <c r="H27" s="302"/>
      <c r="I27" s="302"/>
      <c r="J27" s="302"/>
      <c r="K27" s="372">
        <v>0</v>
      </c>
      <c r="L27" s="302"/>
      <c r="M27" s="302"/>
      <c r="N27" s="302"/>
      <c r="O27" s="302"/>
      <c r="P27" s="302"/>
      <c r="Q27" s="302"/>
      <c r="R27" s="830"/>
      <c r="S27" s="372">
        <v>0</v>
      </c>
      <c r="T27" s="302"/>
      <c r="U27" s="302"/>
      <c r="V27" s="302"/>
      <c r="W27" s="302"/>
      <c r="X27" s="302"/>
      <c r="Y27" s="372">
        <v>0</v>
      </c>
      <c r="Z27" s="302"/>
      <c r="AA27" s="302"/>
      <c r="AB27" s="302"/>
      <c r="AC27" s="302"/>
      <c r="AD27" s="302"/>
      <c r="AE27" s="941"/>
    </row>
    <row r="28" spans="1:31" s="8" customFormat="1" ht="33" customHeight="1" thickBot="1">
      <c r="A28" s="95" t="s">
        <v>11</v>
      </c>
      <c r="B28" s="121" t="s">
        <v>106</v>
      </c>
      <c r="C28" s="121"/>
      <c r="D28" s="121"/>
      <c r="E28" s="374">
        <v>0</v>
      </c>
      <c r="F28" s="375">
        <v>0</v>
      </c>
      <c r="G28" s="375">
        <v>0</v>
      </c>
      <c r="H28" s="375">
        <v>0</v>
      </c>
      <c r="I28" s="375">
        <v>0</v>
      </c>
      <c r="J28" s="375">
        <v>0</v>
      </c>
      <c r="K28" s="374">
        <v>0</v>
      </c>
      <c r="L28" s="375">
        <v>0</v>
      </c>
      <c r="M28" s="375">
        <v>0</v>
      </c>
      <c r="N28" s="375">
        <v>1</v>
      </c>
      <c r="O28" s="375"/>
      <c r="P28" s="375"/>
      <c r="Q28" s="375"/>
      <c r="R28" s="831"/>
      <c r="S28" s="374">
        <v>0</v>
      </c>
      <c r="T28" s="375"/>
      <c r="U28" s="375"/>
      <c r="V28" s="375"/>
      <c r="W28" s="375"/>
      <c r="X28" s="375"/>
      <c r="Y28" s="374">
        <v>0</v>
      </c>
      <c r="Z28" s="375"/>
      <c r="AA28" s="375"/>
      <c r="AB28" s="375"/>
      <c r="AC28" s="375"/>
      <c r="AD28" s="375"/>
      <c r="AE28" s="943"/>
    </row>
    <row r="29" spans="1:31" s="8" customFormat="1" ht="33" customHeight="1" thickBot="1">
      <c r="A29" s="115" t="s">
        <v>12</v>
      </c>
      <c r="B29" s="1131" t="s">
        <v>107</v>
      </c>
      <c r="C29" s="1131"/>
      <c r="D29" s="1131"/>
      <c r="E29" s="371">
        <f aca="true" t="shared" si="11" ref="E29:M29">E5+E16+E24+E28</f>
        <v>608113858</v>
      </c>
      <c r="F29" s="300">
        <f t="shared" si="11"/>
        <v>579343858</v>
      </c>
      <c r="G29" s="300">
        <f t="shared" si="11"/>
        <v>579403358</v>
      </c>
      <c r="H29" s="300">
        <f t="shared" si="11"/>
        <v>0</v>
      </c>
      <c r="I29" s="300">
        <f t="shared" si="11"/>
        <v>0</v>
      </c>
      <c r="J29" s="300">
        <f t="shared" si="11"/>
        <v>0</v>
      </c>
      <c r="K29" s="371">
        <f t="shared" si="11"/>
        <v>587466065</v>
      </c>
      <c r="L29" s="300">
        <f t="shared" si="11"/>
        <v>558696065</v>
      </c>
      <c r="M29" s="300">
        <f t="shared" si="11"/>
        <v>558745565</v>
      </c>
      <c r="N29" s="300">
        <f>N5+N16+N24+N28</f>
        <v>1</v>
      </c>
      <c r="O29" s="300"/>
      <c r="P29" s="300">
        <f>P5+P16+P24+P28</f>
        <v>0</v>
      </c>
      <c r="Q29" s="300">
        <f>Q5+Q16+Q24+Q28</f>
        <v>0</v>
      </c>
      <c r="R29" s="824">
        <f t="shared" si="4"/>
        <v>0</v>
      </c>
      <c r="S29" s="371">
        <f aca="true" t="shared" si="12" ref="S29:AE29">S5+S16+S24+S28</f>
        <v>20647793</v>
      </c>
      <c r="T29" s="300">
        <f t="shared" si="12"/>
        <v>20647793</v>
      </c>
      <c r="U29" s="300">
        <f>U5+U16+U24+U28</f>
        <v>20657793</v>
      </c>
      <c r="V29" s="300">
        <f t="shared" si="12"/>
        <v>0</v>
      </c>
      <c r="W29" s="300">
        <f t="shared" si="12"/>
        <v>0</v>
      </c>
      <c r="X29" s="300">
        <f t="shared" si="12"/>
        <v>0</v>
      </c>
      <c r="Y29" s="371">
        <f t="shared" si="12"/>
        <v>4847310</v>
      </c>
      <c r="Z29" s="300">
        <f t="shared" si="12"/>
        <v>4847310</v>
      </c>
      <c r="AA29" s="300">
        <f t="shared" si="12"/>
        <v>4847310</v>
      </c>
      <c r="AB29" s="300">
        <f t="shared" si="12"/>
        <v>0</v>
      </c>
      <c r="AC29" s="300">
        <f t="shared" si="12"/>
        <v>0</v>
      </c>
      <c r="AD29" s="300">
        <f t="shared" si="12"/>
        <v>0</v>
      </c>
      <c r="AE29" s="940">
        <f t="shared" si="12"/>
        <v>0</v>
      </c>
    </row>
    <row r="30" spans="1:31" s="8" customFormat="1" ht="33" customHeight="1" thickBot="1">
      <c r="A30" s="93" t="s">
        <v>13</v>
      </c>
      <c r="B30" s="1169" t="s">
        <v>220</v>
      </c>
      <c r="C30" s="1169"/>
      <c r="D30" s="1169"/>
      <c r="E30" s="376">
        <f>SUM(E31:E33)</f>
        <v>8964221</v>
      </c>
      <c r="F30" s="376">
        <f aca="true" t="shared" si="13" ref="F30:M30">SUM(F31:F33)</f>
        <v>37734221</v>
      </c>
      <c r="G30" s="376">
        <f t="shared" si="13"/>
        <v>37734221</v>
      </c>
      <c r="H30" s="376">
        <f t="shared" si="13"/>
        <v>0</v>
      </c>
      <c r="I30" s="376">
        <f t="shared" si="13"/>
        <v>0</v>
      </c>
      <c r="J30" s="376">
        <f t="shared" si="13"/>
        <v>0</v>
      </c>
      <c r="K30" s="376">
        <f t="shared" si="13"/>
        <v>8964221</v>
      </c>
      <c r="L30" s="118">
        <f t="shared" si="13"/>
        <v>37734221</v>
      </c>
      <c r="M30" s="118">
        <f t="shared" si="13"/>
        <v>37734221</v>
      </c>
      <c r="N30" s="118">
        <f>SUM(N31:N33)</f>
        <v>8935</v>
      </c>
      <c r="O30" s="118"/>
      <c r="P30" s="118">
        <f>SUM(P31:P33)</f>
        <v>0</v>
      </c>
      <c r="Q30" s="118">
        <f>SUM(Q31:Q33)</f>
        <v>0</v>
      </c>
      <c r="R30" s="824">
        <f t="shared" si="4"/>
        <v>0</v>
      </c>
      <c r="S30" s="376"/>
      <c r="T30" s="118"/>
      <c r="U30" s="118"/>
      <c r="V30" s="118"/>
      <c r="W30" s="118"/>
      <c r="X30" s="118"/>
      <c r="Y30" s="376"/>
      <c r="Z30" s="118"/>
      <c r="AA30" s="118"/>
      <c r="AB30" s="118"/>
      <c r="AC30" s="118"/>
      <c r="AD30" s="118"/>
      <c r="AE30" s="944"/>
    </row>
    <row r="31" spans="1:31" s="5" customFormat="1" ht="33" customHeight="1">
      <c r="A31" s="137"/>
      <c r="B31" s="119" t="s">
        <v>49</v>
      </c>
      <c r="C31" s="1118" t="s">
        <v>302</v>
      </c>
      <c r="D31" s="1118"/>
      <c r="E31" s="372">
        <v>0</v>
      </c>
      <c r="F31" s="302"/>
      <c r="G31" s="302"/>
      <c r="H31" s="302"/>
      <c r="I31" s="302"/>
      <c r="J31" s="302"/>
      <c r="K31" s="372">
        <v>0</v>
      </c>
      <c r="L31" s="302"/>
      <c r="M31" s="302"/>
      <c r="N31" s="302"/>
      <c r="O31" s="302"/>
      <c r="P31" s="302"/>
      <c r="Q31" s="302"/>
      <c r="R31" s="830"/>
      <c r="S31" s="372">
        <v>0</v>
      </c>
      <c r="T31" s="302"/>
      <c r="U31" s="302"/>
      <c r="V31" s="302"/>
      <c r="W31" s="302"/>
      <c r="X31" s="302"/>
      <c r="Y31" s="372">
        <v>0</v>
      </c>
      <c r="Z31" s="302"/>
      <c r="AA31" s="302"/>
      <c r="AB31" s="302"/>
      <c r="AC31" s="302"/>
      <c r="AD31" s="302"/>
      <c r="AE31" s="941"/>
    </row>
    <row r="32" spans="1:31" s="5" customFormat="1" ht="33" customHeight="1">
      <c r="A32" s="133"/>
      <c r="B32" s="120" t="s">
        <v>347</v>
      </c>
      <c r="C32" s="1168" t="s">
        <v>589</v>
      </c>
      <c r="D32" s="1168"/>
      <c r="E32" s="377">
        <v>0</v>
      </c>
      <c r="F32" s="136">
        <f>'4.sz.m.ÖNK kiadás'!F34</f>
        <v>28770000</v>
      </c>
      <c r="G32" s="136">
        <f>'4.sz.m.ÖNK kiadás'!G34</f>
        <v>28770000</v>
      </c>
      <c r="H32" s="136"/>
      <c r="I32" s="136"/>
      <c r="J32" s="136"/>
      <c r="K32" s="377">
        <v>0</v>
      </c>
      <c r="L32" s="136">
        <f>'4.sz.m.ÖNK kiadás'!M34</f>
        <v>28770000</v>
      </c>
      <c r="M32" s="136">
        <f>'4.sz.m.ÖNK kiadás'!N34</f>
        <v>28770000</v>
      </c>
      <c r="N32" s="136"/>
      <c r="O32" s="136"/>
      <c r="P32" s="136"/>
      <c r="Q32" s="136"/>
      <c r="R32" s="834"/>
      <c r="S32" s="377">
        <v>0</v>
      </c>
      <c r="T32" s="136"/>
      <c r="U32" s="136"/>
      <c r="V32" s="136"/>
      <c r="W32" s="136"/>
      <c r="X32" s="136"/>
      <c r="Y32" s="377">
        <v>0</v>
      </c>
      <c r="Z32" s="136"/>
      <c r="AA32" s="136"/>
      <c r="AB32" s="136"/>
      <c r="AC32" s="136"/>
      <c r="AD32" s="136"/>
      <c r="AE32" s="945"/>
    </row>
    <row r="33" spans="1:31" s="5" customFormat="1" ht="33" customHeight="1" thickBot="1">
      <c r="A33" s="133"/>
      <c r="B33" s="120" t="s">
        <v>505</v>
      </c>
      <c r="C33" s="1172" t="s">
        <v>504</v>
      </c>
      <c r="D33" s="1172"/>
      <c r="E33" s="377">
        <f>'4.sz.m.ÖNK kiadás'!E36</f>
        <v>8964221</v>
      </c>
      <c r="F33" s="136">
        <f>'4.sz.m.ÖNK kiadás'!F36</f>
        <v>8964221</v>
      </c>
      <c r="G33" s="136">
        <f>'4.sz.m.ÖNK kiadás'!G36</f>
        <v>8964221</v>
      </c>
      <c r="H33" s="136">
        <f>'4.sz.m.ÖNK kiadás'!H36</f>
        <v>0</v>
      </c>
      <c r="I33" s="136">
        <f>'4.sz.m.ÖNK kiadás'!I36</f>
        <v>0</v>
      </c>
      <c r="J33" s="136">
        <f>'4.sz.m.ÖNK kiadás'!J36</f>
        <v>0</v>
      </c>
      <c r="K33" s="377">
        <f>'4.sz.m.ÖNK kiadás'!L36</f>
        <v>8964221</v>
      </c>
      <c r="L33" s="136">
        <f>'4.sz.m.ÖNK kiadás'!M36</f>
        <v>8964221</v>
      </c>
      <c r="M33" s="136">
        <f>'4.sz.m.ÖNK kiadás'!N36</f>
        <v>8964221</v>
      </c>
      <c r="N33" s="136">
        <v>8935</v>
      </c>
      <c r="O33" s="136"/>
      <c r="P33" s="136">
        <f>I33</f>
        <v>0</v>
      </c>
      <c r="Q33" s="136">
        <f>J33</f>
        <v>0</v>
      </c>
      <c r="R33" s="830">
        <f t="shared" si="4"/>
        <v>0</v>
      </c>
      <c r="S33" s="377">
        <v>0</v>
      </c>
      <c r="T33" s="136"/>
      <c r="U33" s="136"/>
      <c r="V33" s="136"/>
      <c r="W33" s="136"/>
      <c r="X33" s="136"/>
      <c r="Y33" s="377">
        <v>0</v>
      </c>
      <c r="Z33" s="136"/>
      <c r="AA33" s="136"/>
      <c r="AB33" s="136"/>
      <c r="AC33" s="136"/>
      <c r="AD33" s="136"/>
      <c r="AE33" s="945"/>
    </row>
    <row r="34" spans="1:31" s="5" customFormat="1" ht="33" customHeight="1" thickBot="1">
      <c r="A34" s="394" t="s">
        <v>14</v>
      </c>
      <c r="B34" s="1173" t="s">
        <v>252</v>
      </c>
      <c r="C34" s="1173"/>
      <c r="D34" s="1173"/>
      <c r="E34" s="395">
        <f>E29+E30</f>
        <v>617078079</v>
      </c>
      <c r="F34" s="396">
        <f>F29+F30</f>
        <v>617078079</v>
      </c>
      <c r="G34" s="396">
        <f aca="true" t="shared" si="14" ref="G34:M34">G29+G30</f>
        <v>617137579</v>
      </c>
      <c r="H34" s="396">
        <f>H29+H30</f>
        <v>0</v>
      </c>
      <c r="I34" s="396">
        <f>I29+I30</f>
        <v>0</v>
      </c>
      <c r="J34" s="396">
        <f>J29+J30</f>
        <v>0</v>
      </c>
      <c r="K34" s="395">
        <f t="shared" si="14"/>
        <v>596430286</v>
      </c>
      <c r="L34" s="396">
        <f>L29+L30</f>
        <v>596430286</v>
      </c>
      <c r="M34" s="396">
        <f t="shared" si="14"/>
        <v>596479786</v>
      </c>
      <c r="N34" s="396">
        <f>N29+N30</f>
        <v>8936</v>
      </c>
      <c r="O34" s="396"/>
      <c r="P34" s="396">
        <f>P29+P30</f>
        <v>0</v>
      </c>
      <c r="Q34" s="396">
        <f>Q29+Q30</f>
        <v>0</v>
      </c>
      <c r="R34" s="835">
        <f t="shared" si="4"/>
        <v>0</v>
      </c>
      <c r="S34" s="395">
        <f aca="true" t="shared" si="15" ref="S34:AA34">S29+S30</f>
        <v>20647793</v>
      </c>
      <c r="T34" s="396">
        <f>T29+T30</f>
        <v>20647793</v>
      </c>
      <c r="U34" s="396">
        <f>U29+U30</f>
        <v>20657793</v>
      </c>
      <c r="V34" s="396">
        <f>V29+V30</f>
        <v>0</v>
      </c>
      <c r="W34" s="396">
        <f>W29+W30</f>
        <v>0</v>
      </c>
      <c r="X34" s="396">
        <f>X29+X30</f>
        <v>0</v>
      </c>
      <c r="Y34" s="395">
        <f t="shared" si="15"/>
        <v>4847310</v>
      </c>
      <c r="Z34" s="396">
        <f t="shared" si="15"/>
        <v>4847310</v>
      </c>
      <c r="AA34" s="396">
        <f t="shared" si="15"/>
        <v>4847310</v>
      </c>
      <c r="AB34" s="396">
        <f>AB29+AB30</f>
        <v>0</v>
      </c>
      <c r="AC34" s="396">
        <f>AC29+AC30</f>
        <v>0</v>
      </c>
      <c r="AD34" s="396">
        <f>AD29+AD30</f>
        <v>0</v>
      </c>
      <c r="AE34" s="946">
        <f>AE29+AE30</f>
        <v>0</v>
      </c>
    </row>
    <row r="35" spans="1:31" s="5" customFormat="1" ht="33" customHeight="1" hidden="1" thickBot="1">
      <c r="A35" s="1170" t="s">
        <v>253</v>
      </c>
      <c r="B35" s="1171"/>
      <c r="C35" s="1171"/>
      <c r="D35" s="1171"/>
      <c r="E35" s="474"/>
      <c r="F35" s="397"/>
      <c r="G35" s="397"/>
      <c r="H35" s="397"/>
      <c r="I35" s="397"/>
      <c r="J35" s="397"/>
      <c r="K35" s="474"/>
      <c r="L35" s="397"/>
      <c r="M35" s="397"/>
      <c r="N35" s="397"/>
      <c r="O35" s="397"/>
      <c r="P35" s="397"/>
      <c r="Q35" s="397"/>
      <c r="R35" s="834"/>
      <c r="S35" s="474"/>
      <c r="T35" s="397"/>
      <c r="U35" s="397"/>
      <c r="V35" s="397"/>
      <c r="W35" s="397"/>
      <c r="X35" s="397"/>
      <c r="Y35" s="474"/>
      <c r="Z35" s="397"/>
      <c r="AA35" s="397"/>
      <c r="AB35" s="397"/>
      <c r="AC35" s="397"/>
      <c r="AD35" s="397"/>
      <c r="AE35" s="945"/>
    </row>
    <row r="36" spans="1:31" s="5" customFormat="1" ht="33" customHeight="1" thickBot="1">
      <c r="A36" s="1130" t="s">
        <v>109</v>
      </c>
      <c r="B36" s="1131"/>
      <c r="C36" s="1131"/>
      <c r="D36" s="1131"/>
      <c r="E36" s="373">
        <f aca="true" t="shared" si="16" ref="E36:M36">E34+E35</f>
        <v>617078079</v>
      </c>
      <c r="F36" s="79">
        <f t="shared" si="16"/>
        <v>617078079</v>
      </c>
      <c r="G36" s="79">
        <f t="shared" si="16"/>
        <v>617137579</v>
      </c>
      <c r="H36" s="79">
        <f t="shared" si="16"/>
        <v>0</v>
      </c>
      <c r="I36" s="79">
        <f t="shared" si="16"/>
        <v>0</v>
      </c>
      <c r="J36" s="79">
        <f t="shared" si="16"/>
        <v>0</v>
      </c>
      <c r="K36" s="373">
        <f t="shared" si="16"/>
        <v>596430286</v>
      </c>
      <c r="L36" s="79">
        <f t="shared" si="16"/>
        <v>596430286</v>
      </c>
      <c r="M36" s="79">
        <f t="shared" si="16"/>
        <v>596479786</v>
      </c>
      <c r="N36" s="79">
        <f>N34+N35</f>
        <v>8936</v>
      </c>
      <c r="O36" s="79"/>
      <c r="P36" s="79">
        <f>P34+P35</f>
        <v>0</v>
      </c>
      <c r="Q36" s="79">
        <f>Q34+Q35</f>
        <v>0</v>
      </c>
      <c r="R36" s="828">
        <f t="shared" si="4"/>
        <v>0</v>
      </c>
      <c r="S36" s="373">
        <f aca="true" t="shared" si="17" ref="S36:AE36">S34+S35</f>
        <v>20647793</v>
      </c>
      <c r="T36" s="79">
        <f t="shared" si="17"/>
        <v>20647793</v>
      </c>
      <c r="U36" s="79">
        <f>U34+U35</f>
        <v>20657793</v>
      </c>
      <c r="V36" s="79">
        <f t="shared" si="17"/>
        <v>0</v>
      </c>
      <c r="W36" s="79">
        <f t="shared" si="17"/>
        <v>0</v>
      </c>
      <c r="X36" s="79">
        <f t="shared" si="17"/>
        <v>0</v>
      </c>
      <c r="Y36" s="373">
        <f t="shared" si="17"/>
        <v>4847310</v>
      </c>
      <c r="Z36" s="79">
        <f t="shared" si="17"/>
        <v>4847310</v>
      </c>
      <c r="AA36" s="79">
        <f t="shared" si="17"/>
        <v>4847310</v>
      </c>
      <c r="AB36" s="79">
        <f t="shared" si="17"/>
        <v>0</v>
      </c>
      <c r="AC36" s="79">
        <f t="shared" si="17"/>
        <v>0</v>
      </c>
      <c r="AD36" s="79">
        <f t="shared" si="17"/>
        <v>0</v>
      </c>
      <c r="AE36" s="942">
        <f t="shared" si="17"/>
        <v>0</v>
      </c>
    </row>
    <row r="37" spans="1:30" s="5" customFormat="1" ht="19.5" customHeight="1">
      <c r="A37" s="65"/>
      <c r="B37" s="122"/>
      <c r="C37" s="65"/>
      <c r="D37" s="65"/>
      <c r="E37" s="6"/>
      <c r="F37" s="6"/>
      <c r="G37" s="6"/>
      <c r="H37" s="6"/>
      <c r="I37" s="6"/>
      <c r="J37" s="6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476"/>
      <c r="Z37" s="476"/>
      <c r="AA37" s="476"/>
      <c r="AB37" s="476"/>
      <c r="AC37" s="476"/>
      <c r="AD37" s="476"/>
    </row>
    <row r="38" spans="1:30" s="5" customFormat="1" ht="19.5" customHeight="1">
      <c r="A38" s="65"/>
      <c r="B38" s="122"/>
      <c r="C38" s="65"/>
      <c r="D38" s="65"/>
      <c r="E38" s="6"/>
      <c r="F38" s="6"/>
      <c r="G38" s="6"/>
      <c r="H38" s="6"/>
      <c r="I38" s="6"/>
      <c r="J38" s="6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475"/>
      <c r="Z38" s="475"/>
      <c r="AA38" s="475"/>
      <c r="AB38" s="475"/>
      <c r="AC38" s="475"/>
      <c r="AD38" s="475"/>
    </row>
    <row r="39" spans="1:30" s="5" customFormat="1" ht="19.5" customHeight="1">
      <c r="A39" s="65"/>
      <c r="B39" s="122"/>
      <c r="C39" s="1158" t="s">
        <v>56</v>
      </c>
      <c r="D39" s="1158"/>
      <c r="E39" s="1158"/>
      <c r="F39" s="1158"/>
      <c r="G39" s="1158"/>
      <c r="H39" s="1158"/>
      <c r="I39" s="1158"/>
      <c r="J39" s="1158"/>
      <c r="K39" s="1158"/>
      <c r="L39" s="1158"/>
      <c r="M39" s="1158"/>
      <c r="N39" s="1158"/>
      <c r="O39" s="1158"/>
      <c r="P39" s="1158"/>
      <c r="Q39" s="1158"/>
      <c r="R39" s="1158"/>
      <c r="S39" s="1158"/>
      <c r="T39" s="312"/>
      <c r="U39" s="312"/>
      <c r="V39" s="312"/>
      <c r="W39" s="312"/>
      <c r="X39" s="312"/>
      <c r="Y39" s="477"/>
      <c r="Z39" s="477"/>
      <c r="AA39" s="477"/>
      <c r="AB39" s="477"/>
      <c r="AC39" s="477"/>
      <c r="AD39" s="478"/>
    </row>
    <row r="40" spans="1:30" s="5" customFormat="1" ht="19.5" customHeight="1" thickBot="1">
      <c r="A40" s="265" t="s">
        <v>57</v>
      </c>
      <c r="B40" s="265"/>
      <c r="E40" s="243"/>
      <c r="F40" s="243"/>
      <c r="G40" s="243"/>
      <c r="H40" s="243"/>
      <c r="I40" s="243"/>
      <c r="J40" s="243"/>
      <c r="K40" s="244"/>
      <c r="L40" s="244"/>
      <c r="M40" s="244"/>
      <c r="N40" s="244"/>
      <c r="O40" s="244"/>
      <c r="P40" s="244"/>
      <c r="Q40" s="244"/>
      <c r="R40" s="244"/>
      <c r="S40" s="245">
        <v>0</v>
      </c>
      <c r="T40" s="245"/>
      <c r="U40" s="245"/>
      <c r="V40" s="245"/>
      <c r="W40" s="245"/>
      <c r="X40" s="245"/>
      <c r="Y40" s="479"/>
      <c r="Z40" s="479"/>
      <c r="AA40" s="479"/>
      <c r="AB40" s="479"/>
      <c r="AC40" s="479"/>
      <c r="AD40" s="480"/>
    </row>
    <row r="41" spans="1:31" ht="52.5" customHeight="1" thickBot="1">
      <c r="A41" s="246">
        <v>1</v>
      </c>
      <c r="B41" s="1137" t="s">
        <v>159</v>
      </c>
      <c r="C41" s="1138"/>
      <c r="D41" s="1139"/>
      <c r="E41" s="264">
        <f>'1.sz.m-önk.össze.bev'!E56-'1 .sz.m.önk.össz.kiad.'!E29</f>
        <v>-141604907</v>
      </c>
      <c r="F41" s="264">
        <f>'1.sz.m-önk.össze.bev'!F56-'1 .sz.m.önk.össz.kiad.'!F29</f>
        <v>-112834907</v>
      </c>
      <c r="G41" s="264">
        <f>'1.sz.m-önk.össze.bev'!G56-'1 .sz.m.önk.össz.kiad.'!G29</f>
        <v>-109147744</v>
      </c>
      <c r="H41" s="264">
        <f>'1.sz.m-önk.össze.bev'!H56-'1 .sz.m.önk.össz.kiad.'!H29</f>
        <v>0</v>
      </c>
      <c r="I41" s="264">
        <f>'1.sz.m-önk.össze.bev'!I56-'1 .sz.m.önk.össz.kiad.'!I29</f>
        <v>0</v>
      </c>
      <c r="J41" s="264">
        <f>'1.sz.m-önk.össze.bev'!J56-'1 .sz.m.önk.össz.kiad.'!J29</f>
        <v>0</v>
      </c>
      <c r="K41" s="264">
        <f>'1.sz.m-önk.össze.bev'!K56-'1 .sz.m.önk.össz.kiad.'!K29</f>
        <v>-141604907</v>
      </c>
      <c r="L41" s="264">
        <f>'1.sz.m-önk.össze.bev'!L56-'1 .sz.m.önk.össz.kiad.'!L29</f>
        <v>-112834907</v>
      </c>
      <c r="M41" s="264">
        <f>'1.sz.m-önk.össze.bev'!M56-'1 .sz.m.önk.össz.kiad.'!M29</f>
        <v>-109147744</v>
      </c>
      <c r="N41" s="264">
        <f>'1.sz.m-önk.össze.bev'!N56-'1 .sz.m.önk.össz.kiad.'!N29</f>
        <v>-1</v>
      </c>
      <c r="O41" s="264">
        <f>'1.sz.m-önk.össze.bev'!O56-'1 .sz.m.önk.össz.kiad.'!O29</f>
        <v>0</v>
      </c>
      <c r="P41" s="264">
        <f>'1.sz.m-önk.össze.bev'!P56-'1 .sz.m.önk.össz.kiad.'!P29</f>
        <v>0</v>
      </c>
      <c r="Q41" s="264">
        <f>'1.sz.m-önk.össze.bev'!Q56-'1 .sz.m.önk.össz.kiad.'!Q29</f>
        <v>0</v>
      </c>
      <c r="R41" s="264" t="e">
        <f>'1.sz.m-önk.össze.bev'!R56-'1 .sz.m.önk.össz.kiad.'!R29</f>
        <v>#DIV/0!</v>
      </c>
      <c r="S41" s="264">
        <f>'1.sz.m-önk.össze.bev'!S56-'1 .sz.m.önk.össz.kiad.'!S29</f>
        <v>0</v>
      </c>
      <c r="T41" s="264">
        <f>'1.sz.m-önk.össze.bev'!T56-'1 .sz.m.önk.össz.kiad.'!T29</f>
        <v>0</v>
      </c>
      <c r="U41" s="264">
        <f>'1.sz.m-önk.össze.bev'!U56-'1 .sz.m.önk.össz.kiad.'!U29</f>
        <v>0</v>
      </c>
      <c r="V41" s="264">
        <f>'1.sz.m-önk.össze.bev'!V56-'1 .sz.m.önk.össz.kiad.'!V29</f>
        <v>0</v>
      </c>
      <c r="W41" s="264">
        <f>'1.sz.m-önk.össze.bev'!W56-'1 .sz.m.önk.össz.kiad.'!W29</f>
        <v>0</v>
      </c>
      <c r="X41" s="264">
        <f>'1.sz.m-önk.össze.bev'!X56-'1 .sz.m.önk.össz.kiad.'!X29</f>
        <v>0</v>
      </c>
      <c r="Y41" s="264">
        <f>'1.sz.m-önk.össze.bev'!Y56-'1 .sz.m.önk.össz.kiad.'!Y29</f>
        <v>-4847310</v>
      </c>
      <c r="Z41" s="264">
        <f>'1.sz.m-önk.össze.bev'!Z56-'1 .sz.m.önk.össz.kiad.'!Z29</f>
        <v>-4847310</v>
      </c>
      <c r="AA41" s="264">
        <f>'1.sz.m-önk.össze.bev'!AA56-'1 .sz.m.önk.össz.kiad.'!AA29</f>
        <v>-4847310</v>
      </c>
      <c r="AB41" s="264">
        <f>'1.sz.m-önk.össze.bev'!AB56-'1 .sz.m.önk.össz.kiad.'!AB29</f>
        <v>0</v>
      </c>
      <c r="AC41" s="264">
        <f>'1.sz.m-önk.össze.bev'!AC56-'1 .sz.m.önk.össz.kiad.'!AC29</f>
        <v>0</v>
      </c>
      <c r="AD41" s="264">
        <f>'1.sz.m-önk.össze.bev'!AD56-'1 .sz.m.önk.össz.kiad.'!AD29</f>
        <v>0</v>
      </c>
      <c r="AE41" s="264">
        <f>'1.sz.m-önk.össze.bev'!AE56-'1 .sz.m.önk.össz.kiad.'!AE29</f>
        <v>0</v>
      </c>
    </row>
    <row r="42" spans="1:24" ht="15.75">
      <c r="A42" s="124"/>
      <c r="B42" s="64"/>
      <c r="C42" s="243"/>
      <c r="D42" s="243"/>
      <c r="E42" s="247"/>
      <c r="F42" s="247"/>
      <c r="G42" s="247"/>
      <c r="H42" s="247"/>
      <c r="I42" s="247"/>
      <c r="J42" s="247"/>
      <c r="K42" s="244"/>
      <c r="L42" s="244"/>
      <c r="M42" s="244"/>
      <c r="N42" s="244"/>
      <c r="O42" s="244"/>
      <c r="P42" s="244"/>
      <c r="Q42" s="244"/>
      <c r="R42" s="244"/>
      <c r="S42" s="245">
        <v>0</v>
      </c>
      <c r="T42" s="245"/>
      <c r="U42" s="245"/>
      <c r="V42" s="245"/>
      <c r="W42" s="245"/>
      <c r="X42" s="245"/>
    </row>
    <row r="43" spans="1:24" ht="15.75" customHeight="1">
      <c r="A43" s="124"/>
      <c r="B43" s="64"/>
      <c r="C43" s="1136" t="s">
        <v>160</v>
      </c>
      <c r="D43" s="1136"/>
      <c r="E43" s="1136"/>
      <c r="F43" s="1136"/>
      <c r="G43" s="1136"/>
      <c r="H43" s="1136"/>
      <c r="I43" s="1136"/>
      <c r="J43" s="1136"/>
      <c r="K43" s="1136"/>
      <c r="L43" s="1136"/>
      <c r="M43" s="1136"/>
      <c r="N43" s="1136"/>
      <c r="O43" s="1136"/>
      <c r="P43" s="1136"/>
      <c r="Q43" s="1136"/>
      <c r="R43" s="1136"/>
      <c r="S43" s="1136"/>
      <c r="T43" s="310"/>
      <c r="U43" s="310"/>
      <c r="V43" s="310"/>
      <c r="W43" s="310"/>
      <c r="X43" s="310"/>
    </row>
    <row r="44" spans="1:24" ht="16.5" thickBot="1">
      <c r="A44" s="265" t="s">
        <v>161</v>
      </c>
      <c r="B44" s="64"/>
      <c r="C44" s="1140"/>
      <c r="D44" s="1140"/>
      <c r="E44" s="243"/>
      <c r="F44" s="243"/>
      <c r="G44" s="243"/>
      <c r="H44" s="243"/>
      <c r="I44" s="243"/>
      <c r="J44" s="243"/>
      <c r="K44" s="244"/>
      <c r="L44" s="244"/>
      <c r="M44" s="244"/>
      <c r="N44" s="244"/>
      <c r="O44" s="244"/>
      <c r="P44" s="244"/>
      <c r="Q44" s="244"/>
      <c r="R44" s="244"/>
      <c r="S44" s="245">
        <v>0</v>
      </c>
      <c r="T44" s="245"/>
      <c r="U44" s="245"/>
      <c r="V44" s="245"/>
      <c r="W44" s="245"/>
      <c r="X44" s="245"/>
    </row>
    <row r="45" spans="1:31" ht="27.75" customHeight="1">
      <c r="A45" s="259" t="s">
        <v>30</v>
      </c>
      <c r="B45" s="1147" t="s">
        <v>549</v>
      </c>
      <c r="C45" s="1148"/>
      <c r="D45" s="1149"/>
      <c r="E45" s="279">
        <f>'1.sz.m-önk.össze.bev'!E60-'2.sz.m.összehasonlító'!B26</f>
        <v>128479128</v>
      </c>
      <c r="F45" s="279">
        <f>'1.sz.m-önk.össze.bev'!F60-'2.sz.m.összehasonlító'!C26</f>
        <v>128479128</v>
      </c>
      <c r="G45" s="279">
        <f>'1.sz.m-önk.össze.bev'!G60-'2.sz.m.összehasonlító'!D26</f>
        <v>118099679</v>
      </c>
      <c r="H45" s="279">
        <f>'1.sz.m-önk.össze.bev'!H60-'2.sz.m.összehasonlító'!E26</f>
        <v>0</v>
      </c>
      <c r="I45" s="279">
        <f>'1.sz.m-önk.össze.bev'!I60-'2.sz.m.összehasonlító'!F26</f>
        <v>0</v>
      </c>
      <c r="J45" s="279">
        <f>'1.sz.m-önk.össze.bev'!J60-'2.sz.m.összehasonlító'!G26</f>
        <v>0</v>
      </c>
      <c r="K45" s="279">
        <f>'1.sz.m-önk.össze.bev'!K60-'2.sz.m.összehasonlító'!B26</f>
        <v>128479128</v>
      </c>
      <c r="L45" s="279">
        <f>'1.sz.m-önk.össze.bev'!L60-'2.sz.m.összehasonlító'!C26</f>
        <v>128479128</v>
      </c>
      <c r="M45" s="279">
        <f>'1.sz.m-önk.össze.bev'!M60-'2.sz.m.összehasonlító'!D26</f>
        <v>118099679</v>
      </c>
      <c r="N45" s="279">
        <f>'1.sz.m-önk.össze.bev'!N60</f>
        <v>0</v>
      </c>
      <c r="O45" s="279">
        <f>'1.sz.m-önk.össze.bev'!O60</f>
        <v>0</v>
      </c>
      <c r="P45" s="279">
        <f>'1.sz.m-önk.össze.bev'!P60</f>
        <v>0</v>
      </c>
      <c r="Q45" s="279">
        <f>'1.sz.m-önk.össze.bev'!Q60</f>
        <v>0</v>
      </c>
      <c r="R45" s="279" t="e">
        <f>'1.sz.m-önk.össze.bev'!R60</f>
        <v>#DIV/0!</v>
      </c>
      <c r="S45" s="279">
        <f>'1.sz.m-önk.össze.bev'!S60</f>
        <v>0</v>
      </c>
      <c r="T45" s="279">
        <f>'1.sz.m-önk.össze.bev'!T60</f>
        <v>0</v>
      </c>
      <c r="U45" s="279">
        <f>'1.sz.m-önk.össze.bev'!U60</f>
        <v>0</v>
      </c>
      <c r="V45" s="279">
        <f>'1.sz.m-önk.össze.bev'!V60</f>
        <v>0</v>
      </c>
      <c r="W45" s="279">
        <f>'1.sz.m-önk.össze.bev'!W60</f>
        <v>0</v>
      </c>
      <c r="X45" s="279">
        <f>'1.sz.m-önk.össze.bev'!X60</f>
        <v>0</v>
      </c>
      <c r="Y45" s="279">
        <f>'1.sz.m-önk.össze.bev'!Y60</f>
        <v>0</v>
      </c>
      <c r="Z45" s="279">
        <f>'1.sz.m-önk.össze.bev'!Z60</f>
        <v>0</v>
      </c>
      <c r="AA45" s="279">
        <f>'1.sz.m-önk.össze.bev'!AA60</f>
        <v>0</v>
      </c>
      <c r="AB45" s="279">
        <f>'1.sz.m-önk.össze.bev'!AB60</f>
        <v>0</v>
      </c>
      <c r="AC45" s="279">
        <f>'1.sz.m-önk.össze.bev'!AC60</f>
        <v>0</v>
      </c>
      <c r="AD45" s="279">
        <f>'1.sz.m-önk.össze.bev'!AD60</f>
        <v>0</v>
      </c>
      <c r="AE45" s="279">
        <f>'1.sz.m-önk.össze.bev'!AE60</f>
        <v>0</v>
      </c>
    </row>
    <row r="46" spans="1:31" ht="27.75" customHeight="1">
      <c r="A46" s="260" t="s">
        <v>31</v>
      </c>
      <c r="B46" s="1141" t="s">
        <v>550</v>
      </c>
      <c r="C46" s="1142"/>
      <c r="D46" s="1143"/>
      <c r="E46" s="280">
        <f>'2.sz.m.összehasonlító'!B26</f>
        <v>10090000</v>
      </c>
      <c r="F46" s="280">
        <f>'2.sz.m.összehasonlító'!C26</f>
        <v>10090000</v>
      </c>
      <c r="G46" s="280">
        <f>'2.sz.m.összehasonlító'!D26</f>
        <v>20467005</v>
      </c>
      <c r="H46" s="280">
        <f>'2.sz.m.összehasonlító'!E26</f>
        <v>0</v>
      </c>
      <c r="I46" s="280">
        <f>'2.sz.m.összehasonlító'!F26</f>
        <v>0</v>
      </c>
      <c r="J46" s="280">
        <f>'2.sz.m.összehasonlító'!G26</f>
        <v>0</v>
      </c>
      <c r="K46" s="280">
        <f>'2.sz.m.összehasonlító'!B26</f>
        <v>10090000</v>
      </c>
      <c r="L46" s="280">
        <f>'2.sz.m.összehasonlító'!C26</f>
        <v>10090000</v>
      </c>
      <c r="M46" s="280">
        <f>'2.sz.m.összehasonlító'!D26</f>
        <v>20467005</v>
      </c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</row>
    <row r="47" spans="1:31" ht="27.75" customHeight="1" thickBot="1">
      <c r="A47" s="261" t="s">
        <v>10</v>
      </c>
      <c r="B47" s="1144" t="s">
        <v>551</v>
      </c>
      <c r="C47" s="1145"/>
      <c r="D47" s="1146"/>
      <c r="E47" s="278">
        <f aca="true" t="shared" si="18" ref="E47:L47">E45+E46</f>
        <v>138569128</v>
      </c>
      <c r="F47" s="278">
        <f t="shared" si="18"/>
        <v>138569128</v>
      </c>
      <c r="G47" s="278">
        <f t="shared" si="18"/>
        <v>138566684</v>
      </c>
      <c r="H47" s="278">
        <f t="shared" si="18"/>
        <v>0</v>
      </c>
      <c r="I47" s="278">
        <f t="shared" si="18"/>
        <v>0</v>
      </c>
      <c r="J47" s="278">
        <f t="shared" si="18"/>
        <v>0</v>
      </c>
      <c r="K47" s="278">
        <f t="shared" si="18"/>
        <v>138569128</v>
      </c>
      <c r="L47" s="278">
        <f t="shared" si="18"/>
        <v>138569128</v>
      </c>
      <c r="M47" s="278">
        <f aca="true" t="shared" si="19" ref="M47:AD47">M45+M46</f>
        <v>138566684</v>
      </c>
      <c r="N47" s="278">
        <f t="shared" si="19"/>
        <v>0</v>
      </c>
      <c r="O47" s="278">
        <f t="shared" si="19"/>
        <v>0</v>
      </c>
      <c r="P47" s="278">
        <f t="shared" si="19"/>
        <v>0</v>
      </c>
      <c r="Q47" s="278">
        <f t="shared" si="19"/>
        <v>0</v>
      </c>
      <c r="R47" s="278" t="e">
        <f t="shared" si="19"/>
        <v>#DIV/0!</v>
      </c>
      <c r="S47" s="278">
        <f t="shared" si="19"/>
        <v>0</v>
      </c>
      <c r="T47" s="278">
        <f t="shared" si="19"/>
        <v>0</v>
      </c>
      <c r="U47" s="278">
        <f t="shared" si="19"/>
        <v>0</v>
      </c>
      <c r="V47" s="278">
        <f t="shared" si="19"/>
        <v>0</v>
      </c>
      <c r="W47" s="278">
        <f t="shared" si="19"/>
        <v>0</v>
      </c>
      <c r="X47" s="278">
        <f t="shared" si="19"/>
        <v>0</v>
      </c>
      <c r="Y47" s="278">
        <f t="shared" si="19"/>
        <v>0</v>
      </c>
      <c r="Z47" s="278">
        <f t="shared" si="19"/>
        <v>0</v>
      </c>
      <c r="AA47" s="278">
        <f t="shared" si="19"/>
        <v>0</v>
      </c>
      <c r="AB47" s="278">
        <f t="shared" si="19"/>
        <v>0</v>
      </c>
      <c r="AC47" s="278">
        <f t="shared" si="19"/>
        <v>0</v>
      </c>
      <c r="AD47" s="278">
        <f t="shared" si="19"/>
        <v>0</v>
      </c>
      <c r="AE47" s="278">
        <f>AE45+AE46</f>
        <v>0</v>
      </c>
    </row>
    <row r="48" spans="1:25" ht="15.75">
      <c r="A48" s="124"/>
      <c r="B48" s="64"/>
      <c r="C48" s="248"/>
      <c r="D48" s="249"/>
      <c r="E48" s="250"/>
      <c r="F48" s="250"/>
      <c r="G48" s="250"/>
      <c r="H48" s="250"/>
      <c r="I48" s="250"/>
      <c r="J48" s="250"/>
      <c r="K48" s="244"/>
      <c r="L48" s="244"/>
      <c r="M48" s="244"/>
      <c r="N48" s="244"/>
      <c r="O48" s="244"/>
      <c r="P48" s="244"/>
      <c r="Q48" s="244"/>
      <c r="R48" s="244"/>
      <c r="S48" s="245"/>
      <c r="T48" s="245"/>
      <c r="U48" s="245"/>
      <c r="V48" s="245"/>
      <c r="W48" s="245"/>
      <c r="X48" s="245"/>
      <c r="Y48" s="1"/>
    </row>
    <row r="49" spans="1:24" ht="15.75" customHeight="1">
      <c r="A49" s="124"/>
      <c r="B49" s="64"/>
      <c r="C49" s="1136" t="s">
        <v>162</v>
      </c>
      <c r="D49" s="1136"/>
      <c r="E49" s="1136"/>
      <c r="F49" s="1136"/>
      <c r="G49" s="1136"/>
      <c r="H49" s="1136"/>
      <c r="I49" s="1136"/>
      <c r="J49" s="1136"/>
      <c r="K49" s="1136"/>
      <c r="L49" s="1136"/>
      <c r="M49" s="1136"/>
      <c r="N49" s="1136"/>
      <c r="O49" s="1136"/>
      <c r="P49" s="1136"/>
      <c r="Q49" s="1136"/>
      <c r="R49" s="1136"/>
      <c r="S49" s="1136"/>
      <c r="T49" s="310"/>
      <c r="U49" s="310"/>
      <c r="V49" s="310"/>
      <c r="W49" s="310"/>
      <c r="X49" s="310"/>
    </row>
    <row r="50" spans="1:24" ht="16.5" thickBot="1">
      <c r="A50" s="265" t="s">
        <v>163</v>
      </c>
      <c r="B50" s="265"/>
      <c r="C50" s="1174"/>
      <c r="D50" s="1174"/>
      <c r="E50" s="243"/>
      <c r="F50" s="243"/>
      <c r="G50" s="243"/>
      <c r="H50" s="243"/>
      <c r="I50" s="243"/>
      <c r="J50" s="243"/>
      <c r="K50" s="244"/>
      <c r="L50" s="244"/>
      <c r="M50" s="244"/>
      <c r="N50" s="244"/>
      <c r="O50" s="244"/>
      <c r="P50" s="244"/>
      <c r="Q50" s="244"/>
      <c r="R50" s="244"/>
      <c r="S50" s="245">
        <v>0</v>
      </c>
      <c r="T50" s="245"/>
      <c r="U50" s="245"/>
      <c r="V50" s="245"/>
      <c r="W50" s="245"/>
      <c r="X50" s="245"/>
    </row>
    <row r="51" spans="1:32" ht="27.75" customHeight="1">
      <c r="A51" s="259" t="s">
        <v>30</v>
      </c>
      <c r="B51" s="1147" t="s">
        <v>552</v>
      </c>
      <c r="C51" s="1148"/>
      <c r="D51" s="1149"/>
      <c r="E51" s="266">
        <v>0</v>
      </c>
      <c r="F51" s="266">
        <v>0</v>
      </c>
      <c r="G51" s="266">
        <v>0</v>
      </c>
      <c r="H51" s="266">
        <v>0</v>
      </c>
      <c r="I51" s="266">
        <v>0</v>
      </c>
      <c r="J51" s="266">
        <v>0</v>
      </c>
      <c r="K51" s="266">
        <v>0</v>
      </c>
      <c r="L51" s="266">
        <v>0</v>
      </c>
      <c r="M51" s="266">
        <v>0</v>
      </c>
      <c r="N51" s="266">
        <v>0</v>
      </c>
      <c r="O51" s="266">
        <v>0</v>
      </c>
      <c r="P51" s="266">
        <v>0</v>
      </c>
      <c r="Q51" s="266">
        <v>0</v>
      </c>
      <c r="R51" s="266">
        <v>0</v>
      </c>
      <c r="S51" s="266">
        <v>0</v>
      </c>
      <c r="T51" s="266">
        <v>0</v>
      </c>
      <c r="U51" s="266">
        <v>0</v>
      </c>
      <c r="V51" s="266">
        <v>0</v>
      </c>
      <c r="W51" s="266">
        <v>0</v>
      </c>
      <c r="X51" s="266">
        <v>0</v>
      </c>
      <c r="Y51" s="266">
        <v>0</v>
      </c>
      <c r="Z51" s="266">
        <v>0</v>
      </c>
      <c r="AA51" s="266">
        <v>0</v>
      </c>
      <c r="AB51" s="266">
        <v>0</v>
      </c>
      <c r="AC51" s="266">
        <v>0</v>
      </c>
      <c r="AD51" s="266">
        <v>0</v>
      </c>
      <c r="AE51" s="266">
        <v>0</v>
      </c>
      <c r="AF51" s="266">
        <v>0</v>
      </c>
    </row>
    <row r="52" spans="1:32" ht="27.75" customHeight="1">
      <c r="A52" s="260" t="s">
        <v>31</v>
      </c>
      <c r="B52" s="1141" t="s">
        <v>553</v>
      </c>
      <c r="C52" s="1142"/>
      <c r="D52" s="1143"/>
      <c r="E52" s="267">
        <f>'1.sz.m-önk.össze.bev'!E58</f>
        <v>12000000</v>
      </c>
      <c r="F52" s="267">
        <f>'1.sz.m-önk.össze.bev'!F58</f>
        <v>12000000</v>
      </c>
      <c r="G52" s="267">
        <f>'1.sz.m-önk.össze.bev'!G58</f>
        <v>8315281</v>
      </c>
      <c r="H52" s="267">
        <f>'1.sz.m-önk.össze.bev'!H58</f>
        <v>0</v>
      </c>
      <c r="I52" s="267">
        <f>'1.sz.m-önk.össze.bev'!I58</f>
        <v>0</v>
      </c>
      <c r="J52" s="267">
        <f>'1.sz.m-önk.össze.bev'!J58</f>
        <v>0</v>
      </c>
      <c r="K52" s="267">
        <f>'1.sz.m-önk.össze.bev'!K58</f>
        <v>12000000</v>
      </c>
      <c r="L52" s="267">
        <f>'1.sz.m-önk.össze.bev'!L58</f>
        <v>12000000</v>
      </c>
      <c r="M52" s="267">
        <f>'1.sz.m-önk.össze.bev'!M58</f>
        <v>8315281</v>
      </c>
      <c r="N52" s="267">
        <f>'1.sz.m-önk.össze.bev'!N58</f>
        <v>0</v>
      </c>
      <c r="O52" s="267">
        <f>'1.sz.m-önk.össze.bev'!O58</f>
        <v>0</v>
      </c>
      <c r="P52" s="267">
        <f>'1.sz.m-önk.össze.bev'!P58</f>
        <v>0</v>
      </c>
      <c r="Q52" s="267">
        <f>'1.sz.m-önk.össze.bev'!Q58</f>
        <v>0</v>
      </c>
      <c r="R52" s="267" t="e">
        <f>'1.sz.m-önk.össze.bev'!R58</f>
        <v>#DIV/0!</v>
      </c>
      <c r="S52" s="267">
        <f>'1.sz.m-önk.össze.bev'!S58</f>
        <v>0</v>
      </c>
      <c r="T52" s="267">
        <f>'1.sz.m-önk.össze.bev'!T58</f>
        <v>0</v>
      </c>
      <c r="U52" s="267">
        <f>'1.sz.m-önk.össze.bev'!U58</f>
        <v>0</v>
      </c>
      <c r="V52" s="267">
        <f>'1.sz.m-önk.össze.bev'!V58</f>
        <v>0</v>
      </c>
      <c r="W52" s="267">
        <f>'1.sz.m-önk.össze.bev'!W58</f>
        <v>0</v>
      </c>
      <c r="X52" s="267">
        <f>'1.sz.m-önk.össze.bev'!X58</f>
        <v>0</v>
      </c>
      <c r="Y52" s="267">
        <f>'1.sz.m-önk.össze.bev'!Y58</f>
        <v>0</v>
      </c>
      <c r="Z52" s="267">
        <f>'1.sz.m-önk.össze.bev'!Z58</f>
        <v>0</v>
      </c>
      <c r="AA52" s="267">
        <f>'1.sz.m-önk.össze.bev'!AA58</f>
        <v>0</v>
      </c>
      <c r="AB52" s="267">
        <f>'1.sz.m-önk.össze.bev'!AB58</f>
        <v>0</v>
      </c>
      <c r="AC52" s="267">
        <f>'1.sz.m-önk.össze.bev'!AC58</f>
        <v>0</v>
      </c>
      <c r="AD52" s="267">
        <f>'1.sz.m-önk.össze.bev'!AD58</f>
        <v>0</v>
      </c>
      <c r="AE52" s="267">
        <f>'1.sz.m-önk.össze.bev'!AE58</f>
        <v>0</v>
      </c>
      <c r="AF52" s="267">
        <f>'1.sz.m-önk.össze.bev'!AF58</f>
        <v>0</v>
      </c>
    </row>
    <row r="53" spans="1:32" ht="27.75" customHeight="1" thickBot="1">
      <c r="A53" s="261" t="s">
        <v>10</v>
      </c>
      <c r="B53" s="1151" t="s">
        <v>554</v>
      </c>
      <c r="C53" s="1152"/>
      <c r="D53" s="1153"/>
      <c r="E53" s="268">
        <f aca="true" t="shared" si="20" ref="E53:J53">E51+E52</f>
        <v>12000000</v>
      </c>
      <c r="F53" s="268">
        <f t="shared" si="20"/>
        <v>12000000</v>
      </c>
      <c r="G53" s="268">
        <f t="shared" si="20"/>
        <v>8315281</v>
      </c>
      <c r="H53" s="268">
        <f t="shared" si="20"/>
        <v>0</v>
      </c>
      <c r="I53" s="268">
        <f t="shared" si="20"/>
        <v>0</v>
      </c>
      <c r="J53" s="268">
        <f t="shared" si="20"/>
        <v>0</v>
      </c>
      <c r="K53" s="268">
        <f aca="true" t="shared" si="21" ref="K53:AF53">K51+K52</f>
        <v>12000000</v>
      </c>
      <c r="L53" s="268">
        <f t="shared" si="21"/>
        <v>12000000</v>
      </c>
      <c r="M53" s="268">
        <f t="shared" si="21"/>
        <v>8315281</v>
      </c>
      <c r="N53" s="268">
        <f t="shared" si="21"/>
        <v>0</v>
      </c>
      <c r="O53" s="268">
        <f t="shared" si="21"/>
        <v>0</v>
      </c>
      <c r="P53" s="268">
        <f t="shared" si="21"/>
        <v>0</v>
      </c>
      <c r="Q53" s="268">
        <f t="shared" si="21"/>
        <v>0</v>
      </c>
      <c r="R53" s="268" t="e">
        <f t="shared" si="21"/>
        <v>#DIV/0!</v>
      </c>
      <c r="S53" s="268">
        <f t="shared" si="21"/>
        <v>0</v>
      </c>
      <c r="T53" s="268">
        <f t="shared" si="21"/>
        <v>0</v>
      </c>
      <c r="U53" s="268">
        <f t="shared" si="21"/>
        <v>0</v>
      </c>
      <c r="V53" s="268">
        <f t="shared" si="21"/>
        <v>0</v>
      </c>
      <c r="W53" s="268">
        <f t="shared" si="21"/>
        <v>0</v>
      </c>
      <c r="X53" s="268">
        <f t="shared" si="21"/>
        <v>0</v>
      </c>
      <c r="Y53" s="268">
        <f t="shared" si="21"/>
        <v>0</v>
      </c>
      <c r="Z53" s="268">
        <f t="shared" si="21"/>
        <v>0</v>
      </c>
      <c r="AA53" s="268">
        <f t="shared" si="21"/>
        <v>0</v>
      </c>
      <c r="AB53" s="268">
        <f t="shared" si="21"/>
        <v>0</v>
      </c>
      <c r="AC53" s="268">
        <f t="shared" si="21"/>
        <v>0</v>
      </c>
      <c r="AD53" s="268">
        <f t="shared" si="21"/>
        <v>0</v>
      </c>
      <c r="AE53" s="268">
        <f t="shared" si="21"/>
        <v>0</v>
      </c>
      <c r="AF53" s="268">
        <f t="shared" si="21"/>
        <v>0</v>
      </c>
    </row>
    <row r="54" spans="1:29" ht="15.75">
      <c r="A54" s="124"/>
      <c r="B54" s="64"/>
      <c r="C54" s="248"/>
      <c r="D54" s="249"/>
      <c r="E54" s="250"/>
      <c r="F54" s="250"/>
      <c r="G54" s="250"/>
      <c r="H54" s="250"/>
      <c r="I54" s="250"/>
      <c r="J54" s="250"/>
      <c r="K54" s="244"/>
      <c r="L54" s="244"/>
      <c r="M54" s="244"/>
      <c r="N54" s="244"/>
      <c r="O54" s="244"/>
      <c r="P54" s="244"/>
      <c r="Q54" s="244"/>
      <c r="R54" s="244"/>
      <c r="S54" s="245"/>
      <c r="T54" s="245"/>
      <c r="U54" s="245"/>
      <c r="V54" s="245"/>
      <c r="W54" s="245"/>
      <c r="X54" s="245"/>
      <c r="AC54" s="81"/>
    </row>
    <row r="55" spans="1:25" ht="15.75" customHeight="1">
      <c r="A55" s="124"/>
      <c r="B55" s="64"/>
      <c r="C55" s="1156" t="s">
        <v>58</v>
      </c>
      <c r="D55" s="1156"/>
      <c r="E55" s="1156"/>
      <c r="F55" s="1156"/>
      <c r="G55" s="1156"/>
      <c r="H55" s="1156"/>
      <c r="I55" s="1156"/>
      <c r="J55" s="1156"/>
      <c r="K55" s="1156"/>
      <c r="L55" s="1156"/>
      <c r="M55" s="1156"/>
      <c r="N55" s="1156"/>
      <c r="O55" s="1156"/>
      <c r="P55" s="1156"/>
      <c r="Q55" s="1156"/>
      <c r="R55" s="1156"/>
      <c r="S55" s="1136"/>
      <c r="T55" s="310"/>
      <c r="U55" s="310"/>
      <c r="V55" s="310"/>
      <c r="W55" s="310"/>
      <c r="X55" s="310"/>
      <c r="Y55" s="140"/>
    </row>
    <row r="56" spans="1:24" ht="15.75">
      <c r="A56" s="124"/>
      <c r="B56" s="64"/>
      <c r="C56" s="251"/>
      <c r="D56" s="251"/>
      <c r="E56" s="251"/>
      <c r="F56" s="251"/>
      <c r="G56" s="251"/>
      <c r="H56" s="251"/>
      <c r="I56" s="251"/>
      <c r="J56" s="251"/>
      <c r="K56" s="252"/>
      <c r="L56" s="252"/>
      <c r="M56" s="252"/>
      <c r="N56" s="252"/>
      <c r="O56" s="252"/>
      <c r="P56" s="252"/>
      <c r="Q56" s="252"/>
      <c r="R56" s="252"/>
      <c r="S56" s="253"/>
      <c r="T56" s="253"/>
      <c r="U56" s="253"/>
      <c r="V56" s="253"/>
      <c r="W56" s="253"/>
      <c r="X56" s="253"/>
    </row>
    <row r="57" spans="1:24" ht="16.5" thickBot="1">
      <c r="A57" s="265" t="s">
        <v>200</v>
      </c>
      <c r="C57" s="1157"/>
      <c r="D57" s="1157"/>
      <c r="E57" s="251"/>
      <c r="F57" s="251"/>
      <c r="G57" s="251"/>
      <c r="H57" s="251"/>
      <c r="I57" s="251"/>
      <c r="J57" s="251"/>
      <c r="K57" s="252"/>
      <c r="L57" s="252"/>
      <c r="M57" s="252"/>
      <c r="N57" s="252"/>
      <c r="O57" s="252"/>
      <c r="P57" s="252"/>
      <c r="Q57" s="252"/>
      <c r="R57" s="252"/>
      <c r="S57" s="253"/>
      <c r="T57" s="253"/>
      <c r="U57" s="253"/>
      <c r="V57" s="253"/>
      <c r="W57" s="253"/>
      <c r="X57" s="253"/>
    </row>
    <row r="58" spans="1:31" ht="27" customHeight="1">
      <c r="A58" s="272" t="s">
        <v>30</v>
      </c>
      <c r="B58" s="1154" t="s">
        <v>164</v>
      </c>
      <c r="C58" s="1154"/>
      <c r="D58" s="1154"/>
      <c r="E58" s="273">
        <f>E59-E62</f>
        <v>141604907</v>
      </c>
      <c r="F58" s="273">
        <f>F59-F62</f>
        <v>112834907</v>
      </c>
      <c r="G58" s="273">
        <f>G59-G62</f>
        <v>109147744</v>
      </c>
      <c r="H58" s="273">
        <f>H59-H62</f>
        <v>0</v>
      </c>
      <c r="I58" s="273">
        <f>I59-I62</f>
        <v>0</v>
      </c>
      <c r="J58" s="273">
        <f aca="true" t="shared" si="22" ref="J58:AD58">J59-J62</f>
        <v>0</v>
      </c>
      <c r="K58" s="273">
        <f t="shared" si="22"/>
        <v>141604907</v>
      </c>
      <c r="L58" s="273">
        <f t="shared" si="22"/>
        <v>112834907</v>
      </c>
      <c r="M58" s="273">
        <f t="shared" si="22"/>
        <v>109147744</v>
      </c>
      <c r="N58" s="273">
        <f t="shared" si="22"/>
        <v>-8935</v>
      </c>
      <c r="O58" s="273">
        <f t="shared" si="22"/>
        <v>0</v>
      </c>
      <c r="P58" s="273">
        <f t="shared" si="22"/>
        <v>0</v>
      </c>
      <c r="Q58" s="273">
        <f t="shared" si="22"/>
        <v>0</v>
      </c>
      <c r="R58" s="273" t="e">
        <f t="shared" si="22"/>
        <v>#DIV/0!</v>
      </c>
      <c r="S58" s="273">
        <f t="shared" si="22"/>
        <v>0</v>
      </c>
      <c r="T58" s="273">
        <f t="shared" si="22"/>
        <v>0</v>
      </c>
      <c r="U58" s="273">
        <f t="shared" si="22"/>
        <v>0</v>
      </c>
      <c r="V58" s="273">
        <f t="shared" si="22"/>
        <v>0</v>
      </c>
      <c r="W58" s="273">
        <f t="shared" si="22"/>
        <v>0</v>
      </c>
      <c r="X58" s="273">
        <f t="shared" si="22"/>
        <v>0</v>
      </c>
      <c r="Y58" s="273">
        <f t="shared" si="22"/>
        <v>0</v>
      </c>
      <c r="Z58" s="273">
        <f t="shared" si="22"/>
        <v>0</v>
      </c>
      <c r="AA58" s="273">
        <f t="shared" si="22"/>
        <v>0</v>
      </c>
      <c r="AB58" s="273">
        <f t="shared" si="22"/>
        <v>0</v>
      </c>
      <c r="AC58" s="273">
        <f t="shared" si="22"/>
        <v>0</v>
      </c>
      <c r="AD58" s="273">
        <f t="shared" si="22"/>
        <v>0</v>
      </c>
      <c r="AE58" s="273">
        <f>AE59-AE62</f>
        <v>0</v>
      </c>
    </row>
    <row r="59" spans="1:31" ht="27" customHeight="1">
      <c r="A59" s="269" t="s">
        <v>165</v>
      </c>
      <c r="B59" s="1155" t="s">
        <v>583</v>
      </c>
      <c r="C59" s="1155"/>
      <c r="D59" s="1155"/>
      <c r="E59" s="274">
        <f>'1.sz.m-önk.össze.bev'!E57</f>
        <v>150569128</v>
      </c>
      <c r="F59" s="274">
        <f>'1.sz.m-önk.össze.bev'!F57</f>
        <v>150569128</v>
      </c>
      <c r="G59" s="274">
        <f>'1.sz.m-önk.össze.bev'!G57</f>
        <v>146881965</v>
      </c>
      <c r="H59" s="274">
        <f>'1.sz.m-önk.össze.bev'!H57</f>
        <v>0</v>
      </c>
      <c r="I59" s="274">
        <f>'1.sz.m-önk.össze.bev'!I57</f>
        <v>0</v>
      </c>
      <c r="J59" s="274">
        <f>'1.sz.m-önk.össze.bev'!J57</f>
        <v>0</v>
      </c>
      <c r="K59" s="274">
        <f>'1.sz.m-önk.össze.bev'!K57</f>
        <v>150569128</v>
      </c>
      <c r="L59" s="274">
        <f>'1.sz.m-önk.össze.bev'!L57</f>
        <v>150569128</v>
      </c>
      <c r="M59" s="274">
        <f>'1.sz.m-önk.össze.bev'!M57</f>
        <v>146881965</v>
      </c>
      <c r="N59" s="274">
        <f>'1.sz.m-önk.össze.bev'!N57</f>
        <v>0</v>
      </c>
      <c r="O59" s="274">
        <f>'1.sz.m-önk.össze.bev'!O57</f>
        <v>0</v>
      </c>
      <c r="P59" s="274">
        <f>'1.sz.m-önk.össze.bev'!P57</f>
        <v>0</v>
      </c>
      <c r="Q59" s="274">
        <f>'1.sz.m-önk.össze.bev'!Q57</f>
        <v>0</v>
      </c>
      <c r="R59" s="274" t="e">
        <f>'1.sz.m-önk.össze.bev'!R57</f>
        <v>#DIV/0!</v>
      </c>
      <c r="S59" s="274">
        <f>'1.sz.m-önk.össze.bev'!S57</f>
        <v>0</v>
      </c>
      <c r="T59" s="274">
        <f>'1.sz.m-önk.össze.bev'!T57</f>
        <v>0</v>
      </c>
      <c r="U59" s="274">
        <f>'1.sz.m-önk.össze.bev'!U57</f>
        <v>0</v>
      </c>
      <c r="V59" s="274">
        <f>'1.sz.m-önk.össze.bev'!V57</f>
        <v>0</v>
      </c>
      <c r="W59" s="274">
        <f>'1.sz.m-önk.össze.bev'!W57</f>
        <v>0</v>
      </c>
      <c r="X59" s="274">
        <f>'1.sz.m-önk.össze.bev'!X57</f>
        <v>0</v>
      </c>
      <c r="Y59" s="274">
        <f>'1.sz.m-önk.össze.bev'!Y57</f>
        <v>0</v>
      </c>
      <c r="Z59" s="274">
        <f>'1.sz.m-önk.össze.bev'!Z57</f>
        <v>0</v>
      </c>
      <c r="AA59" s="274">
        <f>'1.sz.m-önk.össze.bev'!AA57</f>
        <v>0</v>
      </c>
      <c r="AB59" s="274">
        <f>'1.sz.m-önk.össze.bev'!AB57</f>
        <v>0</v>
      </c>
      <c r="AC59" s="274">
        <f>'1.sz.m-önk.össze.bev'!AC57</f>
        <v>0</v>
      </c>
      <c r="AD59" s="274">
        <f>'1.sz.m-önk.össze.bev'!AD57</f>
        <v>0</v>
      </c>
      <c r="AE59" s="274">
        <f>'1.sz.m-önk.össze.bev'!AE57</f>
        <v>0</v>
      </c>
    </row>
    <row r="60" spans="1:31" ht="27" customHeight="1">
      <c r="A60" s="269" t="s">
        <v>166</v>
      </c>
      <c r="B60" s="1135" t="s">
        <v>208</v>
      </c>
      <c r="C60" s="1135"/>
      <c r="D60" s="1135"/>
      <c r="E60" s="274">
        <f>'1.sz.m-önk.össze.bev'!E60-'2.sz.m.összehasonlító'!B26</f>
        <v>128479128</v>
      </c>
      <c r="F60" s="274">
        <f>'1.sz.m-önk.össze.bev'!F60-'2.sz.m.összehasonlító'!C26</f>
        <v>128479128</v>
      </c>
      <c r="G60" s="274">
        <f>'1.sz.m-önk.össze.bev'!G60-'2.sz.m.összehasonlító'!D26</f>
        <v>118099679</v>
      </c>
      <c r="H60" s="274">
        <f>'1.sz.m-önk.össze.bev'!H60-'2.sz.m.összehasonlító'!E26</f>
        <v>0</v>
      </c>
      <c r="I60" s="274">
        <f>'1.sz.m-önk.össze.bev'!I60-'2.sz.m.összehasonlító'!F26</f>
        <v>0</v>
      </c>
      <c r="J60" s="274">
        <f>'1.sz.m-önk.össze.bev'!J60-'2.sz.m.összehasonlító'!G26</f>
        <v>0</v>
      </c>
      <c r="K60" s="274">
        <f>'1.sz.m-önk.össze.bev'!K60-'2.sz.m.összehasonlító'!B26</f>
        <v>128479128</v>
      </c>
      <c r="L60" s="274">
        <f>'1.sz.m-önk.össze.bev'!L60-'2.sz.m.összehasonlító'!C26</f>
        <v>128479128</v>
      </c>
      <c r="M60" s="274">
        <f>'1.sz.m-önk.össze.bev'!M60</f>
        <v>138566684</v>
      </c>
      <c r="N60" s="274">
        <f>'1.sz.m-önk.össze.bev'!N60</f>
        <v>0</v>
      </c>
      <c r="O60" s="274">
        <f>'1.sz.m-önk.össze.bev'!O60</f>
        <v>0</v>
      </c>
      <c r="P60" s="274">
        <f>'1.sz.m-önk.össze.bev'!P60</f>
        <v>0</v>
      </c>
      <c r="Q60" s="274">
        <f>'1.sz.m-önk.össze.bev'!Q60</f>
        <v>0</v>
      </c>
      <c r="R60" s="274" t="e">
        <f>'1.sz.m-önk.össze.bev'!R60</f>
        <v>#DIV/0!</v>
      </c>
      <c r="S60" s="274">
        <f>'1.sz.m-önk.össze.bev'!S60</f>
        <v>0</v>
      </c>
      <c r="T60" s="274">
        <f>'1.sz.m-önk.össze.bev'!T60</f>
        <v>0</v>
      </c>
      <c r="U60" s="274">
        <f>'1.sz.m-önk.össze.bev'!U60</f>
        <v>0</v>
      </c>
      <c r="V60" s="274">
        <f>'1.sz.m-önk.össze.bev'!V60</f>
        <v>0</v>
      </c>
      <c r="W60" s="274">
        <f>'1.sz.m-önk.össze.bev'!W60</f>
        <v>0</v>
      </c>
      <c r="X60" s="274">
        <f>'1.sz.m-önk.össze.bev'!X60</f>
        <v>0</v>
      </c>
      <c r="Y60" s="274">
        <f>'1.sz.m-önk.össze.bev'!Y60</f>
        <v>0</v>
      </c>
      <c r="Z60" s="274">
        <f>'1.sz.m-önk.össze.bev'!Z60</f>
        <v>0</v>
      </c>
      <c r="AA60" s="274">
        <f>'1.sz.m-önk.össze.bev'!AA60</f>
        <v>0</v>
      </c>
      <c r="AB60" s="274">
        <f>'1.sz.m-önk.össze.bev'!AB60</f>
        <v>0</v>
      </c>
      <c r="AC60" s="274">
        <f>'1.sz.m-önk.össze.bev'!AC60</f>
        <v>0</v>
      </c>
      <c r="AD60" s="274">
        <f>'1.sz.m-önk.össze.bev'!AD60</f>
        <v>0</v>
      </c>
      <c r="AE60" s="274">
        <f>'1.sz.m-önk.össze.bev'!AE60</f>
        <v>0</v>
      </c>
    </row>
    <row r="61" spans="1:31" ht="27" customHeight="1">
      <c r="A61" s="270" t="s">
        <v>167</v>
      </c>
      <c r="B61" s="1135" t="s">
        <v>209</v>
      </c>
      <c r="C61" s="1135"/>
      <c r="D61" s="1135"/>
      <c r="E61" s="274">
        <f>'1.sz.m-önk.össze.bev'!E58+'2.sz.m.összehasonlító'!B26</f>
        <v>22090000</v>
      </c>
      <c r="F61" s="274">
        <f>'1.sz.m-önk.össze.bev'!F58+'2.sz.m.összehasonlító'!C26</f>
        <v>22090000</v>
      </c>
      <c r="G61" s="274">
        <f>'1.sz.m-önk.össze.bev'!G58+'2.sz.m.összehasonlító'!D26</f>
        <v>28782286</v>
      </c>
      <c r="H61" s="274">
        <f>'1.sz.m-önk.össze.bev'!H58+'2.sz.m.összehasonlító'!E26</f>
        <v>0</v>
      </c>
      <c r="I61" s="274">
        <f>'1.sz.m-önk.össze.bev'!I58+'2.sz.m.összehasonlító'!F26</f>
        <v>0</v>
      </c>
      <c r="J61" s="274">
        <f>'1.sz.m-önk.össze.bev'!J58+'2.sz.m.összehasonlító'!G26</f>
        <v>0</v>
      </c>
      <c r="K61" s="274">
        <f>'1.sz.m-önk.össze.bev'!K58+'2.sz.m.összehasonlító'!B26</f>
        <v>22090000</v>
      </c>
      <c r="L61" s="274">
        <f>'1.sz.m-önk.össze.bev'!L58+'2.sz.m.összehasonlító'!C26</f>
        <v>22090000</v>
      </c>
      <c r="M61" s="274">
        <f>'1.sz.m-önk.össze.bev'!M58</f>
        <v>8315281</v>
      </c>
      <c r="N61" s="274">
        <f>'1.sz.m-önk.össze.bev'!N58</f>
        <v>0</v>
      </c>
      <c r="O61" s="274">
        <f>'1.sz.m-önk.össze.bev'!O58</f>
        <v>0</v>
      </c>
      <c r="P61" s="274">
        <f>'1.sz.m-önk.össze.bev'!P58</f>
        <v>0</v>
      </c>
      <c r="Q61" s="274">
        <f>'1.sz.m-önk.össze.bev'!Q58</f>
        <v>0</v>
      </c>
      <c r="R61" s="274" t="e">
        <f>'1.sz.m-önk.össze.bev'!R58</f>
        <v>#DIV/0!</v>
      </c>
      <c r="S61" s="274">
        <f>'1.sz.m-önk.össze.bev'!S58</f>
        <v>0</v>
      </c>
      <c r="T61" s="274">
        <f>'1.sz.m-önk.össze.bev'!T58</f>
        <v>0</v>
      </c>
      <c r="U61" s="274">
        <f>'1.sz.m-önk.össze.bev'!U58</f>
        <v>0</v>
      </c>
      <c r="V61" s="274">
        <f>'1.sz.m-önk.össze.bev'!V58</f>
        <v>0</v>
      </c>
      <c r="W61" s="274">
        <f>'1.sz.m-önk.össze.bev'!W58</f>
        <v>0</v>
      </c>
      <c r="X61" s="274">
        <f>'1.sz.m-önk.össze.bev'!X58</f>
        <v>0</v>
      </c>
      <c r="Y61" s="274">
        <f>'1.sz.m-önk.össze.bev'!Y58</f>
        <v>0</v>
      </c>
      <c r="Z61" s="274">
        <f>'1.sz.m-önk.össze.bev'!Z58</f>
        <v>0</v>
      </c>
      <c r="AA61" s="274">
        <f>'1.sz.m-önk.össze.bev'!AA58</f>
        <v>0</v>
      </c>
      <c r="AB61" s="274">
        <f>'1.sz.m-önk.össze.bev'!AB58</f>
        <v>0</v>
      </c>
      <c r="AC61" s="274">
        <f>'1.sz.m-önk.össze.bev'!AC58</f>
        <v>0</v>
      </c>
      <c r="AD61" s="274">
        <f>'1.sz.m-önk.össze.bev'!AD58</f>
        <v>0</v>
      </c>
      <c r="AE61" s="274">
        <f>'1.sz.m-önk.össze.bev'!AE58</f>
        <v>0</v>
      </c>
    </row>
    <row r="62" spans="1:31" ht="27" customHeight="1">
      <c r="A62" s="271" t="s">
        <v>168</v>
      </c>
      <c r="B62" s="1155" t="s">
        <v>584</v>
      </c>
      <c r="C62" s="1155"/>
      <c r="D62" s="1155"/>
      <c r="E62" s="275">
        <f>E30</f>
        <v>8964221</v>
      </c>
      <c r="F62" s="275">
        <f>F30</f>
        <v>37734221</v>
      </c>
      <c r="G62" s="275">
        <f>G30</f>
        <v>37734221</v>
      </c>
      <c r="H62" s="275">
        <f>H30</f>
        <v>0</v>
      </c>
      <c r="I62" s="275">
        <f>I30</f>
        <v>0</v>
      </c>
      <c r="J62" s="275">
        <f aca="true" t="shared" si="23" ref="J62:AD62">J30</f>
        <v>0</v>
      </c>
      <c r="K62" s="275">
        <f t="shared" si="23"/>
        <v>8964221</v>
      </c>
      <c r="L62" s="275">
        <f t="shared" si="23"/>
        <v>37734221</v>
      </c>
      <c r="M62" s="275">
        <f t="shared" si="23"/>
        <v>37734221</v>
      </c>
      <c r="N62" s="275">
        <f t="shared" si="23"/>
        <v>8935</v>
      </c>
      <c r="O62" s="275">
        <f t="shared" si="23"/>
        <v>0</v>
      </c>
      <c r="P62" s="275">
        <f t="shared" si="23"/>
        <v>0</v>
      </c>
      <c r="Q62" s="275">
        <f t="shared" si="23"/>
        <v>0</v>
      </c>
      <c r="R62" s="275">
        <f t="shared" si="23"/>
        <v>0</v>
      </c>
      <c r="S62" s="275">
        <f t="shared" si="23"/>
        <v>0</v>
      </c>
      <c r="T62" s="275">
        <f t="shared" si="23"/>
        <v>0</v>
      </c>
      <c r="U62" s="275">
        <f t="shared" si="23"/>
        <v>0</v>
      </c>
      <c r="V62" s="275">
        <f t="shared" si="23"/>
        <v>0</v>
      </c>
      <c r="W62" s="275">
        <f t="shared" si="23"/>
        <v>0</v>
      </c>
      <c r="X62" s="275">
        <f t="shared" si="23"/>
        <v>0</v>
      </c>
      <c r="Y62" s="275">
        <f t="shared" si="23"/>
        <v>0</v>
      </c>
      <c r="Z62" s="275">
        <f t="shared" si="23"/>
        <v>0</v>
      </c>
      <c r="AA62" s="275">
        <f t="shared" si="23"/>
        <v>0</v>
      </c>
      <c r="AB62" s="275">
        <f t="shared" si="23"/>
        <v>0</v>
      </c>
      <c r="AC62" s="275">
        <f t="shared" si="23"/>
        <v>0</v>
      </c>
      <c r="AD62" s="275">
        <f t="shared" si="23"/>
        <v>0</v>
      </c>
      <c r="AE62" s="275">
        <f>AE30</f>
        <v>0</v>
      </c>
    </row>
    <row r="63" spans="1:31" ht="27" customHeight="1">
      <c r="A63" s="269" t="s">
        <v>169</v>
      </c>
      <c r="B63" s="1135" t="s">
        <v>210</v>
      </c>
      <c r="C63" s="1135"/>
      <c r="D63" s="1135"/>
      <c r="E63" s="274">
        <v>0</v>
      </c>
      <c r="F63" s="274">
        <f>F62</f>
        <v>37734221</v>
      </c>
      <c r="G63" s="274">
        <f>G62</f>
        <v>37734221</v>
      </c>
      <c r="H63" s="274">
        <v>0</v>
      </c>
      <c r="I63" s="274">
        <v>0</v>
      </c>
      <c r="J63" s="274">
        <v>0</v>
      </c>
      <c r="K63" s="274">
        <v>0</v>
      </c>
      <c r="L63" s="274">
        <f>L62</f>
        <v>37734221</v>
      </c>
      <c r="M63" s="274">
        <f>M62</f>
        <v>37734221</v>
      </c>
      <c r="N63" s="274">
        <v>0</v>
      </c>
      <c r="O63" s="274">
        <v>0</v>
      </c>
      <c r="P63" s="274">
        <v>0</v>
      </c>
      <c r="Q63" s="274">
        <v>0</v>
      </c>
      <c r="R63" s="274">
        <v>0</v>
      </c>
      <c r="S63" s="274">
        <v>0</v>
      </c>
      <c r="T63" s="274">
        <v>0</v>
      </c>
      <c r="U63" s="274">
        <v>0</v>
      </c>
      <c r="V63" s="274">
        <v>0</v>
      </c>
      <c r="W63" s="274">
        <v>0</v>
      </c>
      <c r="X63" s="274">
        <v>0</v>
      </c>
      <c r="Y63" s="274">
        <v>0</v>
      </c>
      <c r="Z63" s="274">
        <v>0</v>
      </c>
      <c r="AA63" s="274">
        <v>0</v>
      </c>
      <c r="AB63" s="274">
        <v>0</v>
      </c>
      <c r="AC63" s="274">
        <v>0</v>
      </c>
      <c r="AD63" s="274">
        <v>0</v>
      </c>
      <c r="AE63" s="274">
        <v>0</v>
      </c>
    </row>
    <row r="64" spans="1:31" ht="27" customHeight="1" thickBot="1">
      <c r="A64" s="276" t="s">
        <v>170</v>
      </c>
      <c r="B64" s="1150" t="s">
        <v>211</v>
      </c>
      <c r="C64" s="1150"/>
      <c r="D64" s="1150"/>
      <c r="E64" s="277">
        <v>0</v>
      </c>
      <c r="F64" s="277">
        <v>0</v>
      </c>
      <c r="G64" s="277">
        <v>0</v>
      </c>
      <c r="H64" s="277">
        <v>0</v>
      </c>
      <c r="I64" s="277">
        <v>0</v>
      </c>
      <c r="J64" s="277">
        <v>0</v>
      </c>
      <c r="K64" s="277">
        <v>0</v>
      </c>
      <c r="L64" s="277">
        <v>0</v>
      </c>
      <c r="M64" s="277">
        <v>0</v>
      </c>
      <c r="N64" s="277">
        <v>0</v>
      </c>
      <c r="O64" s="277">
        <v>0</v>
      </c>
      <c r="P64" s="277">
        <v>0</v>
      </c>
      <c r="Q64" s="277">
        <v>0</v>
      </c>
      <c r="R64" s="277">
        <v>0</v>
      </c>
      <c r="S64" s="277">
        <v>0</v>
      </c>
      <c r="T64" s="277">
        <v>0</v>
      </c>
      <c r="U64" s="277">
        <v>0</v>
      </c>
      <c r="V64" s="277">
        <v>0</v>
      </c>
      <c r="W64" s="277">
        <v>0</v>
      </c>
      <c r="X64" s="277">
        <v>0</v>
      </c>
      <c r="Y64" s="277">
        <v>0</v>
      </c>
      <c r="Z64" s="277">
        <v>0</v>
      </c>
      <c r="AA64" s="277">
        <v>0</v>
      </c>
      <c r="AB64" s="277">
        <v>0</v>
      </c>
      <c r="AC64" s="277">
        <v>0</v>
      </c>
      <c r="AD64" s="277">
        <v>0</v>
      </c>
      <c r="AE64" s="277">
        <v>0</v>
      </c>
    </row>
  </sheetData>
  <sheetProtection/>
  <mergeCells count="40"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  <mergeCell ref="C39:S39"/>
    <mergeCell ref="C19:D19"/>
    <mergeCell ref="A1:Y1"/>
    <mergeCell ref="A3:D3"/>
    <mergeCell ref="B5:D5"/>
    <mergeCell ref="Y3:AE3"/>
    <mergeCell ref="B16:D16"/>
    <mergeCell ref="C26:D26"/>
    <mergeCell ref="C17:D17"/>
    <mergeCell ref="C18:D18"/>
    <mergeCell ref="B64:D64"/>
    <mergeCell ref="B52:D52"/>
    <mergeCell ref="B53:D53"/>
    <mergeCell ref="B58:D58"/>
    <mergeCell ref="B59:D59"/>
    <mergeCell ref="B61:D61"/>
    <mergeCell ref="B60:D60"/>
    <mergeCell ref="C55:S55"/>
    <mergeCell ref="C57:D57"/>
    <mergeCell ref="B62:D62"/>
    <mergeCell ref="B63:D63"/>
    <mergeCell ref="C31:D31"/>
    <mergeCell ref="C49:S49"/>
    <mergeCell ref="A36:D36"/>
    <mergeCell ref="B41:D41"/>
    <mergeCell ref="C44:D44"/>
    <mergeCell ref="B46:D46"/>
    <mergeCell ref="B47:D47"/>
    <mergeCell ref="B45:D45"/>
    <mergeCell ref="C43:S43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landscape" paperSize="9" scale="42" r:id="rId1"/>
  <headerFooter differentOddEven="1" alignWithMargins="0">
    <oddHeader>&amp;C&amp;"Algerian,Normál"&amp;16BELED VÁROS ÖNKORMÁNYZATA
2016.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2" manualBreakCount="2">
    <brk id="27" max="65" man="1"/>
    <brk id="29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60" workbookViewId="0" topLeftCell="C1">
      <selection activeCell="D16" sqref="D16"/>
    </sheetView>
  </sheetViews>
  <sheetFormatPr defaultColWidth="9.140625" defaultRowHeight="12.75"/>
  <cols>
    <col min="1" max="1" width="47.8515625" style="13" bestFit="1" customWidth="1"/>
    <col min="2" max="2" width="19.8515625" style="13" customWidth="1"/>
    <col min="3" max="3" width="18.57421875" style="13" customWidth="1"/>
    <col min="4" max="4" width="20.57421875" style="13" customWidth="1"/>
    <col min="5" max="5" width="11.421875" style="13" hidden="1" customWidth="1"/>
    <col min="6" max="6" width="13.00390625" style="13" hidden="1" customWidth="1"/>
    <col min="7" max="7" width="11.421875" style="13" hidden="1" customWidth="1"/>
    <col min="8" max="8" width="43.57421875" style="13" bestFit="1" customWidth="1"/>
    <col min="9" max="9" width="21.8515625" style="13" customWidth="1"/>
    <col min="10" max="10" width="18.28125" style="13" customWidth="1"/>
    <col min="11" max="11" width="18.421875" style="13" customWidth="1"/>
    <col min="12" max="12" width="11.421875" style="13" hidden="1" customWidth="1"/>
    <col min="13" max="13" width="11.8515625" style="13" hidden="1" customWidth="1"/>
    <col min="14" max="14" width="11.421875" style="13" hidden="1" customWidth="1"/>
    <col min="15" max="15" width="13.28125" style="13" customWidth="1"/>
    <col min="16" max="16384" width="9.140625" style="13" customWidth="1"/>
  </cols>
  <sheetData>
    <row r="1" spans="8:9" ht="12.75">
      <c r="H1" s="1175" t="s">
        <v>27</v>
      </c>
      <c r="I1" s="1175"/>
    </row>
    <row r="2" spans="1:9" ht="19.5">
      <c r="A2" s="1176" t="s">
        <v>21</v>
      </c>
      <c r="B2" s="1176"/>
      <c r="C2" s="1176"/>
      <c r="D2" s="1176"/>
      <c r="E2" s="1176"/>
      <c r="F2" s="1176"/>
      <c r="G2" s="1176"/>
      <c r="H2" s="1176"/>
      <c r="I2" s="1176"/>
    </row>
    <row r="3" spans="1:9" ht="11.25" customHeight="1">
      <c r="A3" s="70"/>
      <c r="B3" s="70"/>
      <c r="C3" s="70"/>
      <c r="D3" s="70"/>
      <c r="E3" s="70"/>
      <c r="F3" s="70"/>
      <c r="G3" s="70"/>
      <c r="H3" s="70"/>
      <c r="I3" s="69" t="s">
        <v>547</v>
      </c>
    </row>
    <row r="4" spans="1:9" ht="17.25" customHeight="1" thickBot="1">
      <c r="A4" s="1177" t="s">
        <v>206</v>
      </c>
      <c r="B4" s="1178"/>
      <c r="C4" s="1178"/>
      <c r="D4" s="1178"/>
      <c r="E4" s="1178"/>
      <c r="F4" s="1178"/>
      <c r="G4" s="1178"/>
      <c r="H4" s="1177"/>
      <c r="I4" s="1178"/>
    </row>
    <row r="5" spans="1:14" ht="33" customHeight="1" thickBot="1">
      <c r="A5" s="345" t="s">
        <v>7</v>
      </c>
      <c r="B5" s="442" t="s">
        <v>243</v>
      </c>
      <c r="C5" s="443" t="s">
        <v>241</v>
      </c>
      <c r="D5" s="443" t="s">
        <v>244</v>
      </c>
      <c r="E5" s="443" t="s">
        <v>247</v>
      </c>
      <c r="F5" s="443" t="s">
        <v>263</v>
      </c>
      <c r="G5" s="444" t="s">
        <v>269</v>
      </c>
      <c r="H5" s="393" t="s">
        <v>8</v>
      </c>
      <c r="I5" s="442" t="s">
        <v>243</v>
      </c>
      <c r="J5" s="443" t="s">
        <v>241</v>
      </c>
      <c r="K5" s="443" t="s">
        <v>244</v>
      </c>
      <c r="L5" s="443" t="s">
        <v>247</v>
      </c>
      <c r="M5" s="443" t="s">
        <v>263</v>
      </c>
      <c r="N5" s="444" t="s">
        <v>269</v>
      </c>
    </row>
    <row r="6" spans="1:14" ht="12.75">
      <c r="A6" s="347" t="s">
        <v>353</v>
      </c>
      <c r="B6" s="445">
        <f>'3.sz.m Önk  bev.'!E7</f>
        <v>131360000</v>
      </c>
      <c r="C6" s="445">
        <f>'3.sz.m Önk  bev.'!F7</f>
        <v>131360000</v>
      </c>
      <c r="D6" s="445">
        <f>'3.sz.m Önk  bev.'!G7</f>
        <v>132164653</v>
      </c>
      <c r="E6" s="445">
        <f>'3.sz.m Önk  bev.'!H7</f>
        <v>0</v>
      </c>
      <c r="F6" s="445">
        <f>'3.sz.m Önk  bev.'!I7</f>
        <v>0</v>
      </c>
      <c r="G6" s="445">
        <f>'3.sz.m Önk  bev.'!J7</f>
        <v>0</v>
      </c>
      <c r="H6" s="429" t="s">
        <v>179</v>
      </c>
      <c r="I6" s="465">
        <f>'4.sz.m.ÖNK kiadás'!E7+'5.1 sz. m Köz Hiv'!D34+'5.2 sz. m ÁMK'!D38+'üres lap'!D27</f>
        <v>163677296</v>
      </c>
      <c r="J6" s="465">
        <f>'4.sz.m.ÖNK kiadás'!F7+'5.1 sz. m Köz Hiv'!E34+'5.2 sz. m ÁMK'!E38+'üres lap'!E27</f>
        <v>163677296</v>
      </c>
      <c r="K6" s="465">
        <f>'4.sz.m.ÖNK kiadás'!G7+'5.1 sz. m Köz Hiv'!F34+'5.2 sz. m ÁMK'!F38+'üres lap'!F27</f>
        <v>163677296</v>
      </c>
      <c r="L6" s="466">
        <f>'4.sz.m.ÖNK kiadás'!H7+'5.1 sz. m Köz Hiv'!G34+'5.2 sz. m ÁMK'!G38+'üres lap'!G27</f>
        <v>0</v>
      </c>
      <c r="M6" s="466">
        <f>'4.sz.m.ÖNK kiadás'!I7+'5.1 sz. m Köz Hiv'!H34+'5.2 sz. m ÁMK'!H38+'üres lap'!H27</f>
        <v>0</v>
      </c>
      <c r="N6" s="466">
        <f>'4.sz.m.ÖNK kiadás'!J7+'5.1 sz. m Köz Hiv'!I34+'5.2 sz. m ÁMK'!I38+'üres lap'!I27</f>
        <v>0</v>
      </c>
    </row>
    <row r="7" spans="1:14" ht="12.75">
      <c r="A7" s="348" t="s">
        <v>354</v>
      </c>
      <c r="B7" s="447">
        <f>'3.sz.m Önk  bev.'!E21+'5.1 sz. m Köz Hiv'!D9+'5.2 sz. m ÁMK'!D9-8316000</f>
        <v>41772918</v>
      </c>
      <c r="C7" s="447">
        <f>'3.sz.m Önk  bev.'!F21+'5.1 sz. m Köz Hiv'!E9+'5.2 sz. m ÁMK'!E9-8316000</f>
        <v>41772918</v>
      </c>
      <c r="D7" s="447">
        <f>'3.sz.m Önk  bev.'!G21+'5.1 sz. m Köz Hiv'!F9+'5.2 sz. m ÁMK'!F9</f>
        <v>51846426</v>
      </c>
      <c r="E7" s="447">
        <f>'3.sz.m Önk  bev.'!H21+'5.1 sz. m Köz Hiv'!G9+'5.2 sz. m ÁMK'!G9-7931</f>
        <v>-7931</v>
      </c>
      <c r="F7" s="447">
        <f>'3.sz.m Önk  bev.'!I21+'5.1 sz. m Köz Hiv'!H9+'5.2 sz. m ÁMK'!H9-7931</f>
        <v>-7931</v>
      </c>
      <c r="G7" s="447">
        <f>'3.sz.m Önk  bev.'!J21+'5.1 sz. m Köz Hiv'!I9+'5.2 sz. m ÁMK'!I9-7931</f>
        <v>-7931</v>
      </c>
      <c r="H7" s="430" t="s">
        <v>180</v>
      </c>
      <c r="I7" s="447">
        <f>'4.sz.m.ÖNK kiadás'!E8+'5.1 sz. m Köz Hiv'!D35+'5.2 sz. m ÁMK'!D39+'üres lap'!D28</f>
        <v>43314099</v>
      </c>
      <c r="J7" s="447">
        <f>'4.sz.m.ÖNK kiadás'!F8+'5.1 sz. m Köz Hiv'!E35+'5.2 sz. m ÁMK'!E39+'üres lap'!E28</f>
        <v>43314099</v>
      </c>
      <c r="K7" s="447">
        <f>'4.sz.m.ÖNK kiadás'!G8+'5.1 sz. m Köz Hiv'!F35+'5.2 sz. m ÁMK'!F39+'üres lap'!F28</f>
        <v>43314099</v>
      </c>
      <c r="L7" s="448">
        <f>'4.sz.m.ÖNK kiadás'!H8+'5.1 sz. m Köz Hiv'!G35+'5.2 sz. m ÁMK'!G39+'üres lap'!G28</f>
        <v>0</v>
      </c>
      <c r="M7" s="448">
        <f>'4.sz.m.ÖNK kiadás'!I8+'5.1 sz. m Köz Hiv'!H35+'5.2 sz. m ÁMK'!H39+'üres lap'!H28</f>
        <v>0</v>
      </c>
      <c r="N7" s="448">
        <f>'4.sz.m.ÖNK kiadás'!J8+'5.1 sz. m Köz Hiv'!I35+'5.2 sz. m ÁMK'!I39+'üres lap'!I28</f>
        <v>0</v>
      </c>
    </row>
    <row r="8" spans="1:14" ht="25.5">
      <c r="A8" s="348" t="s">
        <v>355</v>
      </c>
      <c r="B8" s="447">
        <f>'3.sz.m Önk  bev.'!E32+'5.1 sz. m Köz Hiv'!D14+'5.2 sz. m ÁMK'!D18</f>
        <v>279000033</v>
      </c>
      <c r="C8" s="447">
        <f>'3.sz.m Önk  bev.'!F32+'5.1 sz. m Köz Hiv'!E14+'5.2 sz. m ÁMK'!E18</f>
        <v>279000033</v>
      </c>
      <c r="D8" s="447">
        <f>'3.sz.m Önk  bev.'!G32+'5.1 sz. m Köz Hiv'!F14+'5.2 sz. m ÁMK'!F18</f>
        <v>279880420</v>
      </c>
      <c r="E8" s="447">
        <f>'3.sz.m Önk  bev.'!H32+'5.1 sz. m Köz Hiv'!G14+'5.2 sz. m ÁMK'!G18</f>
        <v>0</v>
      </c>
      <c r="F8" s="447">
        <f>'3.sz.m Önk  bev.'!I32+'5.1 sz. m Köz Hiv'!H14+'5.2 sz. m ÁMK'!H18</f>
        <v>0</v>
      </c>
      <c r="G8" s="447">
        <f>'3.sz.m Önk  bev.'!J32+'5.1 sz. m Köz Hiv'!I14+'5.2 sz. m ÁMK'!I18</f>
        <v>0</v>
      </c>
      <c r="H8" s="430" t="s">
        <v>181</v>
      </c>
      <c r="I8" s="447">
        <f>'4.sz.m.ÖNK kiadás'!E9+'5.1 sz. m Köz Hiv'!D36+'5.2 sz. m ÁMK'!D40+'üres lap'!D29</f>
        <v>129033720</v>
      </c>
      <c r="J8" s="447">
        <f>'4.sz.m.ÖNK kiadás'!F9+'5.1 sz. m Köz Hiv'!E36+'5.2 sz. m ÁMK'!E40+'üres lap'!E29</f>
        <v>129033720</v>
      </c>
      <c r="K8" s="447">
        <f>'4.sz.m.ÖNK kiadás'!G9+'5.1 sz. m Köz Hiv'!F36+'5.2 sz. m ÁMK'!F40+'üres lap'!F29</f>
        <v>129553416</v>
      </c>
      <c r="L8" s="448">
        <f>'4.sz.m.ÖNK kiadás'!H9+'5.1 sz. m Köz Hiv'!G36+'5.2 sz. m ÁMK'!G40+'üres lap'!G29</f>
        <v>0</v>
      </c>
      <c r="M8" s="448">
        <f>'4.sz.m.ÖNK kiadás'!I9+'5.1 sz. m Köz Hiv'!H36+'5.2 sz. m ÁMK'!H40+'üres lap'!H29</f>
        <v>0</v>
      </c>
      <c r="N8" s="448">
        <f>'4.sz.m.ÖNK kiadás'!J9+'5.1 sz. m Köz Hiv'!I36+'5.2 sz. m ÁMK'!I40+'üres lap'!I29</f>
        <v>0</v>
      </c>
    </row>
    <row r="9" spans="1:14" ht="12.75">
      <c r="A9" s="348" t="s">
        <v>356</v>
      </c>
      <c r="B9" s="447">
        <f>'3.sz.m Önk  bev.'!E50+'5.1 sz. m Köz Hiv'!D20+'5.2 sz. m ÁMK'!D24</f>
        <v>60000</v>
      </c>
      <c r="C9" s="447">
        <f>'3.sz.m Önk  bev.'!F50+'5.1 sz. m Köz Hiv'!E20+'5.2 sz. m ÁMK'!E24</f>
        <v>60000</v>
      </c>
      <c r="D9" s="447">
        <f>'3.sz.m Önk  bev.'!G50+'5.1 sz. m Köz Hiv'!F20+'5.2 sz. m ÁMK'!F24</f>
        <v>60000</v>
      </c>
      <c r="E9" s="447">
        <f>'3.sz.m Önk  bev.'!H50+'5.1 sz. m Köz Hiv'!G20+'5.2 sz. m ÁMK'!G24</f>
        <v>0</v>
      </c>
      <c r="F9" s="447">
        <f>'3.sz.m Önk  bev.'!I50+'5.1 sz. m Köz Hiv'!H20+'5.2 sz. m ÁMK'!H24</f>
        <v>0</v>
      </c>
      <c r="G9" s="447">
        <f>'3.sz.m Önk  bev.'!J50+'5.1 sz. m Köz Hiv'!I20+'5.2 sz. m ÁMK'!I24</f>
        <v>0</v>
      </c>
      <c r="H9" s="430" t="s">
        <v>182</v>
      </c>
      <c r="I9" s="467">
        <f>'4.sz.m.ÖNK kiadás'!E10+'5.1 sz. m Köz Hiv'!D37+'5.2 sz. m ÁMK'!D41+'üres lap'!D30</f>
        <v>4774766</v>
      </c>
      <c r="J9" s="467">
        <f>'4.sz.m.ÖNK kiadás'!F10+'5.1 sz. m Köz Hiv'!E37+'5.2 sz. m ÁMK'!E41+'üres lap'!E30</f>
        <v>4774766</v>
      </c>
      <c r="K9" s="467">
        <f>'4.sz.m.ÖNK kiadás'!G10+'5.1 sz. m Köz Hiv'!F37+'5.2 sz. m ÁMK'!F41+'üres lap'!F30</f>
        <v>4777266</v>
      </c>
      <c r="L9" s="468">
        <f>'4.sz.m.ÖNK kiadás'!H10+'5.1 sz. m Köz Hiv'!G37+'5.2 sz. m ÁMK'!G41+'üres lap'!G30</f>
        <v>0</v>
      </c>
      <c r="M9" s="468">
        <f>'4.sz.m.ÖNK kiadás'!I10+'5.1 sz. m Köz Hiv'!H37+'5.2 sz. m ÁMK'!H41+'üres lap'!H30</f>
        <v>0</v>
      </c>
      <c r="N9" s="468">
        <f>'4.sz.m.ÖNK kiadás'!J10+'5.1 sz. m Köz Hiv'!I37+'5.2 sz. m ÁMK'!I41+'üres lap'!I30</f>
        <v>0</v>
      </c>
    </row>
    <row r="10" spans="1:15" ht="12.75">
      <c r="A10" s="348"/>
      <c r="B10" s="447"/>
      <c r="C10" s="447"/>
      <c r="D10" s="447"/>
      <c r="E10" s="447"/>
      <c r="F10" s="447"/>
      <c r="G10" s="447"/>
      <c r="H10" s="431" t="s">
        <v>183</v>
      </c>
      <c r="I10" s="447">
        <f>'4.sz.m.ÖNK kiadás'!E11+'5.1 sz. m Köz Hiv'!D38+'5.2 sz. m ÁMK'!D42+'üres lap'!D31</f>
        <v>143300320</v>
      </c>
      <c r="J10" s="447">
        <f>'4.sz.m.ÖNK kiadás'!F11+'5.1 sz. m Köz Hiv'!E38+'5.2 sz. m ÁMK'!E42+'üres lap'!E31</f>
        <v>143481377</v>
      </c>
      <c r="K10" s="447">
        <f>'4.sz.m.ÖNK kiadás'!G11+'5.1 sz. m Köz Hiv'!F38+'5.2 sz. m ÁMK'!F42+'üres lap'!F31</f>
        <v>143491377</v>
      </c>
      <c r="L10" s="448">
        <f>'4.sz.m.ÖNK kiadás'!H11+'5.1 sz. m Köz Hiv'!G38+'5.2 sz. m ÁMK'!G42+'üres lap'!G31</f>
        <v>0</v>
      </c>
      <c r="M10" s="448">
        <f>'4.sz.m.ÖNK kiadás'!I11+'5.1 sz. m Köz Hiv'!H38+'5.2 sz. m ÁMK'!H42+'üres lap'!H31</f>
        <v>0</v>
      </c>
      <c r="N10" s="448">
        <f>'4.sz.m.ÖNK kiadás'!J11+'5.1 sz. m Köz Hiv'!I38+'5.2 sz. m ÁMK'!I42+'üres lap'!I31</f>
        <v>0</v>
      </c>
      <c r="O10" s="31"/>
    </row>
    <row r="11" spans="1:14" ht="12.75">
      <c r="A11" s="348"/>
      <c r="B11" s="447"/>
      <c r="C11" s="447"/>
      <c r="D11" s="447"/>
      <c r="E11" s="447"/>
      <c r="F11" s="447"/>
      <c r="G11" s="447"/>
      <c r="H11" s="430" t="s">
        <v>184</v>
      </c>
      <c r="I11" s="467">
        <f>'4.sz.m.ÖNK kiadás'!E25</f>
        <v>87607657</v>
      </c>
      <c r="J11" s="467">
        <f>'4.sz.m.ÖNK kiadás'!F25</f>
        <v>58656600</v>
      </c>
      <c r="K11" s="467">
        <f>'4.sz.m.ÖNK kiadás'!G25</f>
        <v>59503503</v>
      </c>
      <c r="L11" s="468">
        <f>'4.sz.m.ÖNK kiadás'!H25</f>
        <v>0</v>
      </c>
      <c r="M11" s="468">
        <f>'4.sz.m.ÖNK kiadás'!I25</f>
        <v>0</v>
      </c>
      <c r="N11" s="468">
        <f>'4.sz.m.ÖNK kiadás'!J25</f>
        <v>0</v>
      </c>
    </row>
    <row r="12" spans="1:14" ht="12.75" hidden="1">
      <c r="A12" s="349"/>
      <c r="B12" s="449"/>
      <c r="C12" s="449"/>
      <c r="D12" s="449"/>
      <c r="E12" s="449"/>
      <c r="F12" s="449"/>
      <c r="G12" s="449"/>
      <c r="H12" s="432"/>
      <c r="I12" s="449"/>
      <c r="J12" s="449"/>
      <c r="K12" s="449"/>
      <c r="L12" s="450"/>
      <c r="M12" s="450"/>
      <c r="N12" s="450"/>
    </row>
    <row r="13" spans="1:14" ht="16.5" customHeight="1" hidden="1" thickBot="1">
      <c r="A13" s="350"/>
      <c r="B13" s="451"/>
      <c r="C13" s="451"/>
      <c r="D13" s="451"/>
      <c r="E13" s="451"/>
      <c r="F13" s="451"/>
      <c r="G13" s="451"/>
      <c r="H13" s="433"/>
      <c r="I13" s="451"/>
      <c r="J13" s="451"/>
      <c r="K13" s="451"/>
      <c r="L13" s="452"/>
      <c r="M13" s="452"/>
      <c r="N13" s="452"/>
    </row>
    <row r="14" spans="1:14" ht="24" customHeight="1" thickBot="1">
      <c r="A14" s="351" t="s">
        <v>186</v>
      </c>
      <c r="B14" s="453">
        <f aca="true" t="shared" si="0" ref="B14:G14">SUM(B6:B9)</f>
        <v>452192951</v>
      </c>
      <c r="C14" s="453">
        <f t="shared" si="0"/>
        <v>452192951</v>
      </c>
      <c r="D14" s="453">
        <f>SUM(D6:D9)</f>
        <v>463951499</v>
      </c>
      <c r="E14" s="453">
        <f t="shared" si="0"/>
        <v>-7931</v>
      </c>
      <c r="F14" s="453">
        <f t="shared" si="0"/>
        <v>-7931</v>
      </c>
      <c r="G14" s="453">
        <f t="shared" si="0"/>
        <v>-7931</v>
      </c>
      <c r="H14" s="665" t="s">
        <v>187</v>
      </c>
      <c r="I14" s="453">
        <f aca="true" t="shared" si="1" ref="I14:N14">SUM(I6:I13)</f>
        <v>571707858</v>
      </c>
      <c r="J14" s="453">
        <f t="shared" si="1"/>
        <v>542937858</v>
      </c>
      <c r="K14" s="453">
        <f>SUM(K6:K13)</f>
        <v>544316957</v>
      </c>
      <c r="L14" s="454">
        <f t="shared" si="1"/>
        <v>0</v>
      </c>
      <c r="M14" s="454">
        <f t="shared" si="1"/>
        <v>0</v>
      </c>
      <c r="N14" s="454">
        <f t="shared" si="1"/>
        <v>0</v>
      </c>
    </row>
    <row r="15" spans="1:14" ht="18.75" customHeight="1">
      <c r="A15" s="352" t="s">
        <v>582</v>
      </c>
      <c r="B15" s="346">
        <f>'3.sz.m Önk  bev.'!E59+'5.1 sz. m Köz Hiv'!D25+'5.2 sz. m ÁMK'!D29-B26</f>
        <v>128479128</v>
      </c>
      <c r="C15" s="346">
        <f>'3.sz.m Önk  bev.'!F59+'5.1 sz. m Köz Hiv'!E25+'5.2 sz. m ÁMK'!E29-10090000</f>
        <v>128479128</v>
      </c>
      <c r="D15" s="346">
        <f>'3.sz.m Önk  bev.'!G59+'5.1 sz. m Köz Hiv'!F25+'5.2 sz. m ÁMK'!F29-10090000-8316000-2061005</f>
        <v>118099679</v>
      </c>
      <c r="E15" s="346">
        <f>'3.sz.m Önk  bev.'!H59+'5.1 sz. m Köz Hiv'!G25+'5.2 sz. m ÁMK'!G29</f>
        <v>0</v>
      </c>
      <c r="F15" s="346">
        <f>'3.sz.m Önk  bev.'!I59+'5.1 sz. m Köz Hiv'!H25+'5.2 sz. m ÁMK'!H29</f>
        <v>0</v>
      </c>
      <c r="G15" s="346">
        <f>'3.sz.m Önk  bev.'!J59+'5.1 sz. m Köz Hiv'!I25+'5.2 sz. m ÁMK'!I29</f>
        <v>0</v>
      </c>
      <c r="H15" s="429" t="s">
        <v>590</v>
      </c>
      <c r="I15" s="445">
        <v>0</v>
      </c>
      <c r="J15" s="445">
        <f>'4.sz.m.ÖNK kiadás'!F34</f>
        <v>28770000</v>
      </c>
      <c r="K15" s="445">
        <f>'4.sz.m.ÖNK kiadás'!G34</f>
        <v>28770000</v>
      </c>
      <c r="L15" s="446">
        <v>0</v>
      </c>
      <c r="M15" s="446">
        <v>0</v>
      </c>
      <c r="N15" s="446">
        <v>0</v>
      </c>
    </row>
    <row r="16" spans="1:14" ht="15" customHeight="1" thickBot="1">
      <c r="A16" s="353" t="s">
        <v>542</v>
      </c>
      <c r="B16" s="455"/>
      <c r="C16" s="455"/>
      <c r="D16" s="455"/>
      <c r="E16" s="455"/>
      <c r="F16" s="455"/>
      <c r="G16" s="455">
        <f>'3.sz.m Önk  bev.'!J58</f>
        <v>0</v>
      </c>
      <c r="H16" s="432" t="s">
        <v>504</v>
      </c>
      <c r="I16" s="449">
        <f>'4.sz.m.ÖNK kiadás'!E36</f>
        <v>8964221</v>
      </c>
      <c r="J16" s="449">
        <f>'4.sz.m.ÖNK kiadás'!F36</f>
        <v>8964221</v>
      </c>
      <c r="K16" s="449">
        <f>'4.sz.m.ÖNK kiadás'!G36</f>
        <v>8964221</v>
      </c>
      <c r="L16" s="449">
        <f>'4.sz.m.ÖNK kiadás'!H36</f>
        <v>0</v>
      </c>
      <c r="M16" s="449">
        <f>'4.sz.m.ÖNK kiadás'!I36</f>
        <v>0</v>
      </c>
      <c r="N16" s="449">
        <f>'4.sz.m.ÖNK kiadás'!J36</f>
        <v>0</v>
      </c>
    </row>
    <row r="17" spans="1:14" ht="25.5" customHeight="1" thickBot="1">
      <c r="A17" s="354" t="s">
        <v>191</v>
      </c>
      <c r="B17" s="456">
        <f aca="true" t="shared" si="2" ref="B17:G17">SUM(B15:B16)</f>
        <v>128479128</v>
      </c>
      <c r="C17" s="456">
        <f t="shared" si="2"/>
        <v>128479128</v>
      </c>
      <c r="D17" s="456">
        <f>SUM(D15:D16)</f>
        <v>118099679</v>
      </c>
      <c r="E17" s="456">
        <f t="shared" si="2"/>
        <v>0</v>
      </c>
      <c r="F17" s="456">
        <f t="shared" si="2"/>
        <v>0</v>
      </c>
      <c r="G17" s="456">
        <f t="shared" si="2"/>
        <v>0</v>
      </c>
      <c r="H17" s="434" t="s">
        <v>198</v>
      </c>
      <c r="I17" s="456">
        <f aca="true" t="shared" si="3" ref="I17:N17">SUM(I15:I16)</f>
        <v>8964221</v>
      </c>
      <c r="J17" s="456">
        <f t="shared" si="3"/>
        <v>37734221</v>
      </c>
      <c r="K17" s="456">
        <f>SUM(K15:K16)</f>
        <v>37734221</v>
      </c>
      <c r="L17" s="457">
        <f t="shared" si="3"/>
        <v>0</v>
      </c>
      <c r="M17" s="457">
        <f t="shared" si="3"/>
        <v>0</v>
      </c>
      <c r="N17" s="457">
        <f t="shared" si="3"/>
        <v>0</v>
      </c>
    </row>
    <row r="18" spans="1:14" ht="22.5" customHeight="1" thickBot="1">
      <c r="A18" s="355" t="s">
        <v>172</v>
      </c>
      <c r="B18" s="458">
        <f aca="true" t="shared" si="4" ref="B18:G18">B14+B17</f>
        <v>580672079</v>
      </c>
      <c r="C18" s="458">
        <f t="shared" si="4"/>
        <v>580672079</v>
      </c>
      <c r="D18" s="458">
        <f>D14+D17</f>
        <v>582051178</v>
      </c>
      <c r="E18" s="458">
        <f t="shared" si="4"/>
        <v>-7931</v>
      </c>
      <c r="F18" s="458">
        <f t="shared" si="4"/>
        <v>-7931</v>
      </c>
      <c r="G18" s="458">
        <f t="shared" si="4"/>
        <v>-7931</v>
      </c>
      <c r="H18" s="435" t="s">
        <v>173</v>
      </c>
      <c r="I18" s="458">
        <f aca="true" t="shared" si="5" ref="I18:N18">I14+I17</f>
        <v>580672079</v>
      </c>
      <c r="J18" s="458">
        <f t="shared" si="5"/>
        <v>580672079</v>
      </c>
      <c r="K18" s="458">
        <f>K14+K17</f>
        <v>582051178</v>
      </c>
      <c r="L18" s="459">
        <f t="shared" si="5"/>
        <v>0</v>
      </c>
      <c r="M18" s="459">
        <f t="shared" si="5"/>
        <v>0</v>
      </c>
      <c r="N18" s="459">
        <f t="shared" si="5"/>
        <v>0</v>
      </c>
    </row>
    <row r="19" spans="1:11" ht="22.5" customHeight="1" thickBot="1">
      <c r="A19" s="1177" t="s">
        <v>207</v>
      </c>
      <c r="B19" s="1178"/>
      <c r="C19" s="1178"/>
      <c r="D19" s="1178"/>
      <c r="E19" s="1178"/>
      <c r="F19" s="1178"/>
      <c r="G19" s="1178"/>
      <c r="H19" s="1177"/>
      <c r="I19" s="1178"/>
      <c r="J19" s="31"/>
      <c r="K19" s="31"/>
    </row>
    <row r="20" spans="1:16" ht="12.75">
      <c r="A20" s="347" t="s">
        <v>174</v>
      </c>
      <c r="B20" s="460">
        <f>'3.sz.m Önk  bev.'!E43+'5.1 sz. m Köz Hiv'!D17+'5.2 sz. m ÁMK'!D21</f>
        <v>6000000</v>
      </c>
      <c r="C20" s="460">
        <f>'3.sz.m Önk  bev.'!F41+'5.1 sz. m Köz Hiv'!E17+'5.2 sz. m ÁMK'!E21</f>
        <v>6000000</v>
      </c>
      <c r="D20" s="460">
        <f>'3.sz.m Önk  bev.'!G41+'5.1 sz. m Köz Hiv'!F17+'5.2 sz. m ÁMK'!F21</f>
        <v>6000000</v>
      </c>
      <c r="E20" s="460">
        <f>'3.sz.m Önk  bev.'!H41+'5.1 sz. m Köz Hiv'!G17+'5.2 sz. m ÁMK'!G21</f>
        <v>0</v>
      </c>
      <c r="F20" s="460">
        <f>'3.sz.m Önk  bev.'!I41+'5.1 sz. m Köz Hiv'!H17+'5.2 sz. m ÁMK'!H21</f>
        <v>0</v>
      </c>
      <c r="G20" s="460">
        <f>'3.sz.m Önk  bev.'!J41+'5.1 sz. m Köz Hiv'!I17+'5.2 sz. m ÁMK'!I21</f>
        <v>0</v>
      </c>
      <c r="H20" s="436" t="s">
        <v>176</v>
      </c>
      <c r="I20" s="465">
        <f>'4.sz.m.ÖNK kiadás'!E18+'5.1 sz. m Köz Hiv'!D40+'5.2 sz. m ÁMK'!D44</f>
        <v>2406000</v>
      </c>
      <c r="J20" s="465">
        <f>'4.sz.m.ÖNK kiadás'!F18+'5.1 sz. m Köz Hiv'!E40+'5.2 sz. m ÁMK'!E44</f>
        <v>2406000</v>
      </c>
      <c r="K20" s="465">
        <f>'4.sz.m.ÖNK kiadás'!G18+'5.1 sz. m Köz Hiv'!F40+'5.2 sz. m ÁMK'!F44</f>
        <v>4682220</v>
      </c>
      <c r="L20" s="465">
        <f>'4.sz.m.ÖNK kiadás'!H18+'5.1 sz. m Köz Hiv'!G40+'5.2 sz. m ÁMK'!G44</f>
        <v>0</v>
      </c>
      <c r="M20" s="465">
        <f>'4.sz.m.ÖNK kiadás'!I18+'5.1 sz. m Köz Hiv'!H40+'5.2 sz. m ÁMK'!H44</f>
        <v>0</v>
      </c>
      <c r="N20" s="465">
        <f>'4.sz.m.ÖNK kiadás'!J18+'5.1 sz. m Köz Hiv'!I40+'5.2 sz. m ÁMK'!I44</f>
        <v>0</v>
      </c>
      <c r="O20" s="31"/>
      <c r="P20" s="31"/>
    </row>
    <row r="21" spans="1:15" ht="25.5">
      <c r="A21" s="348" t="s">
        <v>593</v>
      </c>
      <c r="B21" s="447">
        <v>0</v>
      </c>
      <c r="C21" s="447"/>
      <c r="D21" s="447">
        <f>'3.sz.m Önk  bev.'!G51</f>
        <v>300000</v>
      </c>
      <c r="E21" s="447">
        <v>7931</v>
      </c>
      <c r="F21" s="447">
        <v>7931</v>
      </c>
      <c r="G21" s="447"/>
      <c r="H21" s="430" t="s">
        <v>177</v>
      </c>
      <c r="I21" s="447">
        <f>'4.sz.m.ÖNK kiadás'!E19</f>
        <v>29000000</v>
      </c>
      <c r="J21" s="447">
        <f>'4.sz.m.ÖNK kiadás'!F19+'5.2 sz. m ÁMK'!E46</f>
        <v>29000000</v>
      </c>
      <c r="K21" s="447">
        <f>'4.sz.m.ÖNK kiadás'!G19+'5.2 sz. m ÁMK'!F46</f>
        <v>25404181</v>
      </c>
      <c r="L21" s="447">
        <f>'4.sz.m.ÖNK kiadás'!H19+'5.2 sz. m ÁMK'!G46</f>
        <v>0</v>
      </c>
      <c r="M21" s="447">
        <f>'4.sz.m.ÖNK kiadás'!I19+'5.2 sz. m ÁMK'!H46</f>
        <v>0</v>
      </c>
      <c r="N21" s="447">
        <f>'4.sz.m.ÖNK kiadás'!J19+'5.2 sz. m ÁMK'!I46</f>
        <v>0</v>
      </c>
      <c r="O21" s="31"/>
    </row>
    <row r="22" spans="1:14" ht="12.75">
      <c r="A22" s="348" t="s">
        <v>175</v>
      </c>
      <c r="B22" s="447">
        <v>8316000</v>
      </c>
      <c r="C22" s="447">
        <v>8316000</v>
      </c>
      <c r="D22" s="447">
        <f>'3.sz.m Önk  bev.'!G53</f>
        <v>4115</v>
      </c>
      <c r="E22" s="447">
        <f>'3.sz.m Önk  bev.'!H52</f>
        <v>0</v>
      </c>
      <c r="F22" s="447">
        <f>'3.sz.m Önk  bev.'!I52</f>
        <v>0</v>
      </c>
      <c r="G22" s="447">
        <f>'3.sz.m Önk  bev.'!J52+7931</f>
        <v>7931</v>
      </c>
      <c r="H22" s="430" t="s">
        <v>178</v>
      </c>
      <c r="I22" s="447">
        <f>'4.sz.m.ÖNK kiadás'!E20</f>
        <v>5000000</v>
      </c>
      <c r="J22" s="447">
        <f>'4.sz.m.ÖNK kiadás'!F20</f>
        <v>5000000</v>
      </c>
      <c r="K22" s="447">
        <f>'4.sz.m.ÖNK kiadás'!G20</f>
        <v>5000000</v>
      </c>
      <c r="L22" s="447">
        <f>'4.sz.m.ÖNK kiadás'!H20</f>
        <v>0</v>
      </c>
      <c r="M22" s="447">
        <f>'4.sz.m.ÖNK kiadás'!I20</f>
        <v>0</v>
      </c>
      <c r="N22" s="447">
        <f>'4.sz.m.ÖNK kiadás'!J20</f>
        <v>0</v>
      </c>
    </row>
    <row r="23" spans="1:14" ht="13.5" thickBot="1">
      <c r="A23" s="348"/>
      <c r="B23" s="447"/>
      <c r="C23" s="447"/>
      <c r="D23" s="447"/>
      <c r="E23" s="447"/>
      <c r="F23" s="447"/>
      <c r="G23" s="447"/>
      <c r="H23" s="430" t="s">
        <v>185</v>
      </c>
      <c r="I23" s="447"/>
      <c r="J23" s="447"/>
      <c r="K23" s="447"/>
      <c r="L23" s="448"/>
      <c r="M23" s="448"/>
      <c r="N23" s="448"/>
    </row>
    <row r="24" spans="1:14" ht="13.5" hidden="1" thickBot="1">
      <c r="A24" s="357"/>
      <c r="B24" s="449"/>
      <c r="C24" s="449"/>
      <c r="D24" s="449"/>
      <c r="E24" s="449"/>
      <c r="F24" s="449"/>
      <c r="G24" s="449"/>
      <c r="H24" s="432"/>
      <c r="I24" s="449"/>
      <c r="J24" s="449"/>
      <c r="K24" s="449"/>
      <c r="L24" s="450"/>
      <c r="M24" s="450"/>
      <c r="N24" s="450"/>
    </row>
    <row r="25" spans="1:14" ht="13.5" thickBot="1">
      <c r="A25" s="358" t="s">
        <v>189</v>
      </c>
      <c r="B25" s="458">
        <f aca="true" t="shared" si="6" ref="B25:G25">SUM(B20:B23)</f>
        <v>14316000</v>
      </c>
      <c r="C25" s="458">
        <f t="shared" si="6"/>
        <v>14316000</v>
      </c>
      <c r="D25" s="458">
        <f>SUM(D20:D23)</f>
        <v>6304115</v>
      </c>
      <c r="E25" s="458">
        <f t="shared" si="6"/>
        <v>7931</v>
      </c>
      <c r="F25" s="458">
        <f t="shared" si="6"/>
        <v>7931</v>
      </c>
      <c r="G25" s="458">
        <f t="shared" si="6"/>
        <v>7931</v>
      </c>
      <c r="H25" s="437" t="s">
        <v>188</v>
      </c>
      <c r="I25" s="469">
        <f aca="true" t="shared" si="7" ref="I25:N25">SUM(I20:I24)</f>
        <v>36406000</v>
      </c>
      <c r="J25" s="469">
        <f t="shared" si="7"/>
        <v>36406000</v>
      </c>
      <c r="K25" s="469">
        <f>SUM(K20:K24)</f>
        <v>35086401</v>
      </c>
      <c r="L25" s="470">
        <f t="shared" si="7"/>
        <v>0</v>
      </c>
      <c r="M25" s="470">
        <f t="shared" si="7"/>
        <v>0</v>
      </c>
      <c r="N25" s="470">
        <f t="shared" si="7"/>
        <v>0</v>
      </c>
    </row>
    <row r="26" spans="1:14" ht="15" customHeight="1">
      <c r="A26" s="352" t="s">
        <v>582</v>
      </c>
      <c r="B26" s="461">
        <v>10090000</v>
      </c>
      <c r="C26" s="461">
        <v>10090000</v>
      </c>
      <c r="D26" s="461">
        <f>10090000+8316000+2061005</f>
        <v>20467005</v>
      </c>
      <c r="E26" s="461"/>
      <c r="F26" s="461"/>
      <c r="G26" s="461"/>
      <c r="H26" s="438" t="s">
        <v>190</v>
      </c>
      <c r="I26" s="445"/>
      <c r="J26" s="445"/>
      <c r="K26" s="445"/>
      <c r="L26" s="446"/>
      <c r="M26" s="446"/>
      <c r="N26" s="446"/>
    </row>
    <row r="27" spans="1:14" ht="13.5" thickBot="1">
      <c r="A27" s="353" t="s">
        <v>171</v>
      </c>
      <c r="B27" s="462">
        <f>'3.sz.m Önk  bev.'!E57</f>
        <v>12000000</v>
      </c>
      <c r="C27" s="462">
        <f>'3.sz.m Önk  bev.'!F57</f>
        <v>12000000</v>
      </c>
      <c r="D27" s="462">
        <f>'3.sz.m Önk  bev.'!G57</f>
        <v>8315281</v>
      </c>
      <c r="E27" s="462">
        <f>'3.sz.m Önk  bev.'!H57</f>
        <v>0</v>
      </c>
      <c r="F27" s="462">
        <f>'3.sz.m Önk  bev.'!I57</f>
        <v>0</v>
      </c>
      <c r="G27" s="462">
        <f>'3.sz.m Önk  bev.'!J57</f>
        <v>0</v>
      </c>
      <c r="H27" s="439"/>
      <c r="I27" s="449"/>
      <c r="J27" s="449"/>
      <c r="K27" s="449"/>
      <c r="L27" s="450"/>
      <c r="M27" s="450"/>
      <c r="N27" s="450"/>
    </row>
    <row r="28" spans="1:14" ht="25.5" customHeight="1" thickBot="1">
      <c r="A28" s="359" t="s">
        <v>192</v>
      </c>
      <c r="B28" s="456">
        <f aca="true" t="shared" si="8" ref="B28:G28">SUM(B26:B27)</f>
        <v>22090000</v>
      </c>
      <c r="C28" s="456">
        <f t="shared" si="8"/>
        <v>22090000</v>
      </c>
      <c r="D28" s="456">
        <f>SUM(D26:D27)</f>
        <v>28782286</v>
      </c>
      <c r="E28" s="456">
        <f t="shared" si="8"/>
        <v>0</v>
      </c>
      <c r="F28" s="456">
        <f t="shared" si="8"/>
        <v>0</v>
      </c>
      <c r="G28" s="456">
        <f t="shared" si="8"/>
        <v>0</v>
      </c>
      <c r="H28" s="437" t="s">
        <v>193</v>
      </c>
      <c r="I28" s="458">
        <f aca="true" t="shared" si="9" ref="I28:N28">SUM(I26:I27)</f>
        <v>0</v>
      </c>
      <c r="J28" s="458">
        <f t="shared" si="9"/>
        <v>0</v>
      </c>
      <c r="K28" s="458">
        <f>SUM(K26:K27)</f>
        <v>0</v>
      </c>
      <c r="L28" s="459">
        <f t="shared" si="9"/>
        <v>0</v>
      </c>
      <c r="M28" s="459">
        <f t="shared" si="9"/>
        <v>0</v>
      </c>
      <c r="N28" s="459">
        <f t="shared" si="9"/>
        <v>0</v>
      </c>
    </row>
    <row r="29" spans="1:15" ht="26.25" customHeight="1" thickBot="1">
      <c r="A29" s="356" t="s">
        <v>194</v>
      </c>
      <c r="B29" s="458">
        <f aca="true" t="shared" si="10" ref="B29:G29">B25+B28</f>
        <v>36406000</v>
      </c>
      <c r="C29" s="458">
        <f t="shared" si="10"/>
        <v>36406000</v>
      </c>
      <c r="D29" s="458">
        <f>D25+D28</f>
        <v>35086401</v>
      </c>
      <c r="E29" s="458">
        <f t="shared" si="10"/>
        <v>7931</v>
      </c>
      <c r="F29" s="458">
        <f t="shared" si="10"/>
        <v>7931</v>
      </c>
      <c r="G29" s="458">
        <f t="shared" si="10"/>
        <v>7931</v>
      </c>
      <c r="H29" s="440" t="s">
        <v>195</v>
      </c>
      <c r="I29" s="458">
        <f aca="true" t="shared" si="11" ref="I29:N29">I28+I25</f>
        <v>36406000</v>
      </c>
      <c r="J29" s="458">
        <f t="shared" si="11"/>
        <v>36406000</v>
      </c>
      <c r="K29" s="458">
        <f>K28+K25</f>
        <v>35086401</v>
      </c>
      <c r="L29" s="459">
        <f t="shared" si="11"/>
        <v>0</v>
      </c>
      <c r="M29" s="459">
        <f t="shared" si="11"/>
        <v>0</v>
      </c>
      <c r="N29" s="459">
        <f t="shared" si="11"/>
        <v>0</v>
      </c>
      <c r="O29" s="31"/>
    </row>
    <row r="30" spans="1:14" ht="26.25" customHeight="1" hidden="1" thickBot="1">
      <c r="A30" s="356" t="s">
        <v>254</v>
      </c>
      <c r="B30" s="463"/>
      <c r="C30" s="463"/>
      <c r="D30" s="463"/>
      <c r="E30" s="463"/>
      <c r="F30" s="463"/>
      <c r="G30" s="463"/>
      <c r="H30" s="440" t="s">
        <v>253</v>
      </c>
      <c r="I30" s="458"/>
      <c r="J30" s="458"/>
      <c r="K30" s="458"/>
      <c r="L30" s="459"/>
      <c r="M30" s="459"/>
      <c r="N30" s="459"/>
    </row>
    <row r="31" spans="1:14" ht="29.25" customHeight="1" thickBot="1">
      <c r="A31" s="360" t="s">
        <v>196</v>
      </c>
      <c r="B31" s="464">
        <f aca="true" t="shared" si="12" ref="B31:G31">B18+B29</f>
        <v>617078079</v>
      </c>
      <c r="C31" s="464">
        <f t="shared" si="12"/>
        <v>617078079</v>
      </c>
      <c r="D31" s="464">
        <f>D18+D29</f>
        <v>617137579</v>
      </c>
      <c r="E31" s="464">
        <f t="shared" si="12"/>
        <v>0</v>
      </c>
      <c r="F31" s="464">
        <f t="shared" si="12"/>
        <v>0</v>
      </c>
      <c r="G31" s="464">
        <f t="shared" si="12"/>
        <v>0</v>
      </c>
      <c r="H31" s="441" t="s">
        <v>197</v>
      </c>
      <c r="I31" s="471">
        <f aca="true" t="shared" si="13" ref="I31:N31">I29+I18</f>
        <v>617078079</v>
      </c>
      <c r="J31" s="471">
        <f t="shared" si="13"/>
        <v>617078079</v>
      </c>
      <c r="K31" s="471">
        <f>K29+K18</f>
        <v>617137579</v>
      </c>
      <c r="L31" s="472">
        <f t="shared" si="13"/>
        <v>0</v>
      </c>
      <c r="M31" s="472">
        <f t="shared" si="13"/>
        <v>0</v>
      </c>
      <c r="N31" s="472">
        <f t="shared" si="13"/>
        <v>0</v>
      </c>
    </row>
    <row r="33" spans="2:9" ht="12.75">
      <c r="B33" s="31"/>
      <c r="C33" s="31"/>
      <c r="D33" s="31"/>
      <c r="E33" s="31"/>
      <c r="F33" s="31"/>
      <c r="G33" s="31"/>
      <c r="I33" s="31"/>
    </row>
    <row r="34" spans="6:13" ht="12.75">
      <c r="F34" s="31"/>
      <c r="M34" s="31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view="pageBreakPreview" zoomScale="60" zoomScaleNormal="75" zoomScalePageLayoutView="0" workbookViewId="0" topLeftCell="A1">
      <selection activeCell="E59" sqref="E59"/>
    </sheetView>
  </sheetViews>
  <sheetFormatPr defaultColWidth="9.140625" defaultRowHeight="12.75"/>
  <cols>
    <col min="1" max="2" width="5.7109375" style="101" customWidth="1"/>
    <col min="3" max="3" width="8.8515625" style="101" customWidth="1"/>
    <col min="4" max="4" width="56.00390625" style="20" bestFit="1" customWidth="1"/>
    <col min="5" max="5" width="22.57421875" style="338" customWidth="1"/>
    <col min="6" max="6" width="19.00390625" style="338" customWidth="1"/>
    <col min="7" max="7" width="17.421875" style="338" customWidth="1"/>
    <col min="8" max="8" width="15.57421875" style="338" hidden="1" customWidth="1"/>
    <col min="9" max="10" width="13.7109375" style="338" hidden="1" customWidth="1"/>
    <col min="11" max="11" width="13.140625" style="338" hidden="1" customWidth="1"/>
    <col min="12" max="12" width="22.7109375" style="339" customWidth="1"/>
    <col min="13" max="13" width="16.421875" style="339" customWidth="1"/>
    <col min="14" max="14" width="15.7109375" style="339" customWidth="1"/>
    <col min="15" max="18" width="10.8515625" style="339" hidden="1" customWidth="1"/>
    <col min="19" max="19" width="17.421875" style="340" customWidth="1"/>
    <col min="20" max="20" width="14.57421875" style="339" customWidth="1"/>
    <col min="21" max="21" width="16.140625" style="339" customWidth="1"/>
    <col min="22" max="22" width="11.00390625" style="339" hidden="1" customWidth="1"/>
    <col min="23" max="24" width="12.7109375" style="340" hidden="1" customWidth="1"/>
    <col min="25" max="25" width="11.8515625" style="340" hidden="1" customWidth="1"/>
    <col min="26" max="16384" width="9.140625" style="340" customWidth="1"/>
  </cols>
  <sheetData>
    <row r="1" spans="1:19" ht="12.75">
      <c r="A1" s="98"/>
      <c r="B1" s="98"/>
      <c r="C1" s="98"/>
      <c r="D1" s="99"/>
      <c r="S1" s="58" t="s">
        <v>59</v>
      </c>
    </row>
    <row r="2" spans="1:22" s="342" customFormat="1" ht="34.5" customHeight="1">
      <c r="A2" s="1112" t="s">
        <v>546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  <c r="Q2" s="1112"/>
      <c r="R2" s="1112"/>
      <c r="S2" s="1112"/>
      <c r="T2" s="254"/>
      <c r="U2" s="341"/>
      <c r="V2" s="341"/>
    </row>
    <row r="3" spans="1:19" ht="13.5" thickBot="1">
      <c r="A3" s="100"/>
      <c r="B3" s="100"/>
      <c r="C3" s="100"/>
      <c r="D3" s="96"/>
      <c r="L3" s="82"/>
      <c r="M3" s="82"/>
      <c r="N3" s="82"/>
      <c r="O3" s="82"/>
      <c r="P3" s="82"/>
      <c r="Q3" s="82"/>
      <c r="R3" s="82"/>
      <c r="S3" s="43" t="s">
        <v>547</v>
      </c>
    </row>
    <row r="4" spans="1:25" ht="45.75" customHeight="1" thickBot="1">
      <c r="A4" s="1113" t="s">
        <v>6</v>
      </c>
      <c r="B4" s="1114"/>
      <c r="C4" s="1114"/>
      <c r="D4" s="343" t="s">
        <v>9</v>
      </c>
      <c r="E4" s="1179" t="s">
        <v>5</v>
      </c>
      <c r="F4" s="1180"/>
      <c r="G4" s="1180"/>
      <c r="H4" s="1180"/>
      <c r="I4" s="1180"/>
      <c r="J4" s="1180"/>
      <c r="K4" s="1181"/>
      <c r="L4" s="1179" t="s">
        <v>66</v>
      </c>
      <c r="M4" s="1180"/>
      <c r="N4" s="1180"/>
      <c r="O4" s="1180"/>
      <c r="P4" s="1180"/>
      <c r="Q4" s="1180"/>
      <c r="R4" s="1181"/>
      <c r="S4" s="1179" t="s">
        <v>67</v>
      </c>
      <c r="T4" s="1180"/>
      <c r="U4" s="1180"/>
      <c r="V4" s="1180"/>
      <c r="W4" s="1180"/>
      <c r="X4" s="1180"/>
      <c r="Y4" s="1181"/>
    </row>
    <row r="5" spans="1:25" ht="45.75" customHeight="1" thickBot="1">
      <c r="A5" s="320"/>
      <c r="B5" s="321"/>
      <c r="C5" s="321"/>
      <c r="D5" s="343"/>
      <c r="E5" s="378" t="s">
        <v>70</v>
      </c>
      <c r="F5" s="379" t="s">
        <v>240</v>
      </c>
      <c r="G5" s="379" t="s">
        <v>245</v>
      </c>
      <c r="H5" s="379" t="s">
        <v>248</v>
      </c>
      <c r="I5" s="379" t="s">
        <v>526</v>
      </c>
      <c r="J5" s="343" t="s">
        <v>530</v>
      </c>
      <c r="K5" s="794" t="s">
        <v>518</v>
      </c>
      <c r="L5" s="378" t="s">
        <v>70</v>
      </c>
      <c r="M5" s="379" t="s">
        <v>240</v>
      </c>
      <c r="N5" s="379" t="s">
        <v>245</v>
      </c>
      <c r="O5" s="379" t="s">
        <v>248</v>
      </c>
      <c r="P5" s="379" t="s">
        <v>526</v>
      </c>
      <c r="Q5" s="379" t="s">
        <v>535</v>
      </c>
      <c r="R5" s="794" t="s">
        <v>518</v>
      </c>
      <c r="S5" s="378" t="s">
        <v>70</v>
      </c>
      <c r="T5" s="379" t="s">
        <v>240</v>
      </c>
      <c r="U5" s="379" t="s">
        <v>245</v>
      </c>
      <c r="V5" s="379" t="s">
        <v>248</v>
      </c>
      <c r="W5" s="379" t="s">
        <v>526</v>
      </c>
      <c r="X5" s="379" t="s">
        <v>535</v>
      </c>
      <c r="Y5" s="794" t="s">
        <v>518</v>
      </c>
    </row>
    <row r="6" spans="1:25" s="7" customFormat="1" ht="21.75" customHeight="1" thickBot="1">
      <c r="A6" s="111"/>
      <c r="B6" s="1115"/>
      <c r="C6" s="1115"/>
      <c r="D6" s="1115"/>
      <c r="E6" s="381"/>
      <c r="F6" s="295"/>
      <c r="G6" s="295"/>
      <c r="H6" s="295"/>
      <c r="I6" s="295"/>
      <c r="J6" s="810"/>
      <c r="K6" s="810"/>
      <c r="L6" s="381"/>
      <c r="M6" s="295"/>
      <c r="N6" s="295"/>
      <c r="O6" s="295"/>
      <c r="P6" s="295"/>
      <c r="Q6" s="295"/>
      <c r="R6" s="295"/>
      <c r="S6" s="381"/>
      <c r="T6" s="295"/>
      <c r="U6" s="295"/>
      <c r="V6" s="295"/>
      <c r="W6" s="295"/>
      <c r="X6" s="295"/>
      <c r="Y6" s="295"/>
    </row>
    <row r="7" spans="1:25" s="7" customFormat="1" ht="21.75" customHeight="1" thickBot="1">
      <c r="A7" s="111" t="s">
        <v>30</v>
      </c>
      <c r="B7" s="1115" t="s">
        <v>303</v>
      </c>
      <c r="C7" s="1115"/>
      <c r="D7" s="1115"/>
      <c r="E7" s="381">
        <f aca="true" t="shared" si="0" ref="E7:J7">E8+E13+E16+E17+E20</f>
        <v>131360000</v>
      </c>
      <c r="F7" s="381">
        <f>F8+F13+F16+F17+F20</f>
        <v>131360000</v>
      </c>
      <c r="G7" s="381">
        <f>G8+G13+G16+G17+G20</f>
        <v>132164653</v>
      </c>
      <c r="H7" s="381">
        <f t="shared" si="0"/>
        <v>0</v>
      </c>
      <c r="I7" s="381">
        <f t="shared" si="0"/>
        <v>0</v>
      </c>
      <c r="J7" s="381">
        <f t="shared" si="0"/>
        <v>0</v>
      </c>
      <c r="K7" s="991" t="e">
        <f>J7/I7</f>
        <v>#DIV/0!</v>
      </c>
      <c r="L7" s="381">
        <f aca="true" t="shared" si="1" ref="L7:Q7">L8+L13+L16+L17+L20</f>
        <v>110712207</v>
      </c>
      <c r="M7" s="381">
        <f>M8+M13+M16+M17+M20</f>
        <v>110712207</v>
      </c>
      <c r="N7" s="381">
        <f>N8+N13+N16+N17+N20</f>
        <v>111506860</v>
      </c>
      <c r="O7" s="381">
        <f t="shared" si="1"/>
        <v>0</v>
      </c>
      <c r="P7" s="381">
        <f t="shared" si="1"/>
        <v>0</v>
      </c>
      <c r="Q7" s="381">
        <f t="shared" si="1"/>
        <v>0</v>
      </c>
      <c r="R7" s="991" t="e">
        <f>Q7/P7</f>
        <v>#DIV/0!</v>
      </c>
      <c r="S7" s="381">
        <f aca="true" t="shared" si="2" ref="S7:X7">S8+S13+S16</f>
        <v>20647793</v>
      </c>
      <c r="T7" s="381">
        <f>T8+T13+T16</f>
        <v>20647793</v>
      </c>
      <c r="U7" s="381">
        <f t="shared" si="2"/>
        <v>20657793</v>
      </c>
      <c r="V7" s="381">
        <f t="shared" si="2"/>
        <v>0</v>
      </c>
      <c r="W7" s="381">
        <f t="shared" si="2"/>
        <v>0</v>
      </c>
      <c r="X7" s="381">
        <f t="shared" si="2"/>
        <v>0</v>
      </c>
      <c r="Y7" s="991" t="e">
        <f>W7/V7</f>
        <v>#DIV/0!</v>
      </c>
    </row>
    <row r="8" spans="1:25" ht="21.75" customHeight="1">
      <c r="A8" s="662"/>
      <c r="B8" s="256" t="s">
        <v>39</v>
      </c>
      <c r="C8" s="1107" t="s">
        <v>304</v>
      </c>
      <c r="D8" s="1107"/>
      <c r="E8" s="481">
        <f aca="true" t="shared" si="3" ref="E8:J8">SUM(E9:E12)</f>
        <v>18000000</v>
      </c>
      <c r="F8" s="481">
        <f>SUM(F9:F12)</f>
        <v>18000000</v>
      </c>
      <c r="G8" s="481">
        <f>SUM(G9:G12)</f>
        <v>18000000</v>
      </c>
      <c r="H8" s="481">
        <f t="shared" si="3"/>
        <v>0</v>
      </c>
      <c r="I8" s="481">
        <f t="shared" si="3"/>
        <v>0</v>
      </c>
      <c r="J8" s="481">
        <f t="shared" si="3"/>
        <v>0</v>
      </c>
      <c r="K8" s="813" t="e">
        <f>J8/I8</f>
        <v>#DIV/0!</v>
      </c>
      <c r="L8" s="481">
        <f aca="true" t="shared" si="4" ref="L8:Q8">SUM(L9:L12)</f>
        <v>18000000</v>
      </c>
      <c r="M8" s="481">
        <f>SUM(M9:M12)</f>
        <v>18000000</v>
      </c>
      <c r="N8" s="481">
        <f>SUM(N9:N12)</f>
        <v>18000000</v>
      </c>
      <c r="O8" s="481">
        <f t="shared" si="4"/>
        <v>0</v>
      </c>
      <c r="P8" s="481">
        <f t="shared" si="4"/>
        <v>0</v>
      </c>
      <c r="Q8" s="481">
        <f t="shared" si="4"/>
        <v>0</v>
      </c>
      <c r="R8" s="813" t="e">
        <f>Q8/P8</f>
        <v>#DIV/0!</v>
      </c>
      <c r="S8" s="481">
        <v>0</v>
      </c>
      <c r="T8" s="481">
        <v>0</v>
      </c>
      <c r="U8" s="481"/>
      <c r="V8" s="481"/>
      <c r="W8" s="481"/>
      <c r="X8" s="481"/>
      <c r="Y8" s="992"/>
    </row>
    <row r="9" spans="1:25" ht="21.75" customHeight="1">
      <c r="A9" s="108"/>
      <c r="B9" s="104"/>
      <c r="C9" s="104" t="s">
        <v>309</v>
      </c>
      <c r="D9" s="344" t="s">
        <v>305</v>
      </c>
      <c r="E9" s="383">
        <v>0</v>
      </c>
      <c r="F9" s="383">
        <v>0</v>
      </c>
      <c r="G9" s="383">
        <v>0</v>
      </c>
      <c r="H9" s="383"/>
      <c r="I9" s="383"/>
      <c r="J9" s="1020"/>
      <c r="K9" s="814"/>
      <c r="L9" s="383">
        <v>0</v>
      </c>
      <c r="M9" s="383">
        <v>0</v>
      </c>
      <c r="N9" s="383">
        <v>0</v>
      </c>
      <c r="O9" s="383"/>
      <c r="P9" s="383"/>
      <c r="Q9" s="383"/>
      <c r="R9" s="814"/>
      <c r="S9" s="383">
        <v>0</v>
      </c>
      <c r="T9" s="383">
        <v>0</v>
      </c>
      <c r="U9" s="383"/>
      <c r="V9" s="383"/>
      <c r="W9" s="383"/>
      <c r="X9" s="383"/>
      <c r="Y9" s="993"/>
    </row>
    <row r="10" spans="1:25" ht="21.75" customHeight="1">
      <c r="A10" s="108"/>
      <c r="B10" s="104"/>
      <c r="C10" s="104" t="s">
        <v>310</v>
      </c>
      <c r="D10" s="344" t="s">
        <v>289</v>
      </c>
      <c r="E10" s="383">
        <v>0</v>
      </c>
      <c r="F10" s="383">
        <v>0</v>
      </c>
      <c r="G10" s="383">
        <v>0</v>
      </c>
      <c r="H10" s="383"/>
      <c r="I10" s="383"/>
      <c r="J10" s="1020"/>
      <c r="K10" s="814"/>
      <c r="L10" s="383">
        <v>0</v>
      </c>
      <c r="M10" s="383">
        <v>0</v>
      </c>
      <c r="N10" s="383">
        <v>0</v>
      </c>
      <c r="O10" s="383"/>
      <c r="P10" s="383"/>
      <c r="Q10" s="383"/>
      <c r="R10" s="814"/>
      <c r="S10" s="383">
        <v>0</v>
      </c>
      <c r="T10" s="383">
        <v>0</v>
      </c>
      <c r="U10" s="383"/>
      <c r="V10" s="383"/>
      <c r="W10" s="383"/>
      <c r="X10" s="383"/>
      <c r="Y10" s="993"/>
    </row>
    <row r="11" spans="1:25" ht="21.75" customHeight="1">
      <c r="A11" s="108"/>
      <c r="B11" s="104"/>
      <c r="C11" s="104" t="s">
        <v>311</v>
      </c>
      <c r="D11" s="344" t="s">
        <v>288</v>
      </c>
      <c r="E11" s="383">
        <v>18000000</v>
      </c>
      <c r="F11" s="383">
        <v>18000000</v>
      </c>
      <c r="G11" s="383">
        <v>18000000</v>
      </c>
      <c r="H11" s="383"/>
      <c r="I11" s="383"/>
      <c r="J11" s="1020"/>
      <c r="K11" s="814"/>
      <c r="L11" s="383">
        <v>18000000</v>
      </c>
      <c r="M11" s="383">
        <v>18000000</v>
      </c>
      <c r="N11" s="383">
        <v>18000000</v>
      </c>
      <c r="O11" s="386"/>
      <c r="P11" s="386"/>
      <c r="Q11" s="386"/>
      <c r="R11" s="814" t="e">
        <f>Q11/P11</f>
        <v>#DIV/0!</v>
      </c>
      <c r="S11" s="383">
        <v>0</v>
      </c>
      <c r="T11" s="383">
        <v>0</v>
      </c>
      <c r="U11" s="383"/>
      <c r="V11" s="383"/>
      <c r="W11" s="383"/>
      <c r="X11" s="383"/>
      <c r="Y11" s="993"/>
    </row>
    <row r="12" spans="1:35" ht="21.75" customHeight="1" hidden="1">
      <c r="A12" s="108"/>
      <c r="B12" s="104"/>
      <c r="C12" s="104"/>
      <c r="D12" s="344"/>
      <c r="E12" s="383"/>
      <c r="F12" s="383"/>
      <c r="G12" s="383"/>
      <c r="H12" s="383"/>
      <c r="I12" s="383"/>
      <c r="J12" s="1020"/>
      <c r="K12" s="814" t="e">
        <f>J12/I12</f>
        <v>#DIV/0!</v>
      </c>
      <c r="L12" s="383"/>
      <c r="M12" s="383"/>
      <c r="N12" s="383"/>
      <c r="O12" s="383"/>
      <c r="P12" s="383"/>
      <c r="Q12" s="383"/>
      <c r="R12" s="814" t="e">
        <f>Q12/P12</f>
        <v>#DIV/0!</v>
      </c>
      <c r="S12" s="383"/>
      <c r="T12" s="383"/>
      <c r="U12" s="383"/>
      <c r="V12" s="383"/>
      <c r="W12" s="383"/>
      <c r="X12" s="383"/>
      <c r="Y12" s="993" t="e">
        <f>W12/V12</f>
        <v>#DIV/0!</v>
      </c>
      <c r="AI12" s="340" t="s">
        <v>261</v>
      </c>
    </row>
    <row r="13" spans="1:25" ht="21.75" customHeight="1">
      <c r="A13" s="108"/>
      <c r="B13" s="104" t="s">
        <v>40</v>
      </c>
      <c r="C13" s="1117" t="s">
        <v>306</v>
      </c>
      <c r="D13" s="1117"/>
      <c r="E13" s="383">
        <f aca="true" t="shared" si="5" ref="E13:J13">SUM(E14:E15)</f>
        <v>100000000</v>
      </c>
      <c r="F13" s="383">
        <f>SUM(F14:F15)</f>
        <v>100000000</v>
      </c>
      <c r="G13" s="383">
        <f>SUM(G14:G15)</f>
        <v>100000000</v>
      </c>
      <c r="H13" s="383">
        <f t="shared" si="5"/>
        <v>0</v>
      </c>
      <c r="I13" s="383">
        <f t="shared" si="5"/>
        <v>0</v>
      </c>
      <c r="J13" s="383">
        <f t="shared" si="5"/>
        <v>0</v>
      </c>
      <c r="K13" s="814" t="e">
        <f>J13/I13</f>
        <v>#DIV/0!</v>
      </c>
      <c r="L13" s="383">
        <f aca="true" t="shared" si="6" ref="L13:Q13">SUM(L14:L15)</f>
        <v>79352207</v>
      </c>
      <c r="M13" s="383">
        <f>SUM(M14:M15)</f>
        <v>79352207</v>
      </c>
      <c r="N13" s="383">
        <f>SUM(N14:N15)</f>
        <v>79342207</v>
      </c>
      <c r="O13" s="383">
        <f t="shared" si="6"/>
        <v>0</v>
      </c>
      <c r="P13" s="383">
        <f t="shared" si="6"/>
        <v>0</v>
      </c>
      <c r="Q13" s="383">
        <f t="shared" si="6"/>
        <v>0</v>
      </c>
      <c r="R13" s="814" t="e">
        <f>Q13/P13</f>
        <v>#DIV/0!</v>
      </c>
      <c r="S13" s="383">
        <f aca="true" t="shared" si="7" ref="S13:X13">SUM(S14:S15)</f>
        <v>20647793</v>
      </c>
      <c r="T13" s="383">
        <f>SUM(T14:T15)</f>
        <v>20647793</v>
      </c>
      <c r="U13" s="383">
        <f t="shared" si="7"/>
        <v>20657793</v>
      </c>
      <c r="V13" s="383">
        <f t="shared" si="7"/>
        <v>0</v>
      </c>
      <c r="W13" s="383">
        <f t="shared" si="7"/>
        <v>0</v>
      </c>
      <c r="X13" s="383">
        <f t="shared" si="7"/>
        <v>0</v>
      </c>
      <c r="Y13" s="993" t="e">
        <f>W13/V13</f>
        <v>#DIV/0!</v>
      </c>
    </row>
    <row r="14" spans="1:25" ht="21.75" customHeight="1">
      <c r="A14" s="108"/>
      <c r="B14" s="104"/>
      <c r="C14" s="104" t="s">
        <v>307</v>
      </c>
      <c r="D14" s="602" t="s">
        <v>312</v>
      </c>
      <c r="E14" s="383">
        <v>100000000</v>
      </c>
      <c r="F14" s="383">
        <v>100000000</v>
      </c>
      <c r="G14" s="383">
        <v>100000000</v>
      </c>
      <c r="H14" s="383"/>
      <c r="I14" s="383"/>
      <c r="J14" s="1020"/>
      <c r="K14" s="814"/>
      <c r="L14" s="383">
        <f>E14-S14</f>
        <v>79352207</v>
      </c>
      <c r="M14" s="383">
        <f>F14-T14</f>
        <v>79352207</v>
      </c>
      <c r="N14" s="383">
        <f>100000000-U14</f>
        <v>79342207</v>
      </c>
      <c r="O14" s="383"/>
      <c r="P14" s="383"/>
      <c r="Q14" s="383"/>
      <c r="R14" s="814"/>
      <c r="S14" s="383">
        <v>20647793</v>
      </c>
      <c r="T14" s="383">
        <v>20647793</v>
      </c>
      <c r="U14" s="383">
        <v>20657793</v>
      </c>
      <c r="V14" s="383"/>
      <c r="W14" s="383"/>
      <c r="X14" s="383"/>
      <c r="Y14" s="993" t="e">
        <f>W14/V14</f>
        <v>#DIV/0!</v>
      </c>
    </row>
    <row r="15" spans="1:25" ht="21.75" customHeight="1">
      <c r="A15" s="108"/>
      <c r="B15" s="104"/>
      <c r="C15" s="104" t="s">
        <v>308</v>
      </c>
      <c r="D15" s="602" t="s">
        <v>313</v>
      </c>
      <c r="E15" s="383">
        <v>0</v>
      </c>
      <c r="F15" s="383">
        <v>0</v>
      </c>
      <c r="G15" s="383">
        <v>0</v>
      </c>
      <c r="H15" s="383"/>
      <c r="I15" s="383"/>
      <c r="J15" s="1020"/>
      <c r="K15" s="814"/>
      <c r="L15" s="383">
        <v>0</v>
      </c>
      <c r="M15" s="383">
        <v>0</v>
      </c>
      <c r="N15" s="383">
        <v>0</v>
      </c>
      <c r="O15" s="383"/>
      <c r="P15" s="383"/>
      <c r="Q15" s="383"/>
      <c r="R15" s="814"/>
      <c r="S15" s="383">
        <v>0</v>
      </c>
      <c r="T15" s="383">
        <v>0</v>
      </c>
      <c r="U15" s="383"/>
      <c r="V15" s="383"/>
      <c r="W15" s="383"/>
      <c r="X15" s="383"/>
      <c r="Y15" s="993"/>
    </row>
    <row r="16" spans="1:25" ht="21.75" customHeight="1">
      <c r="A16" s="108"/>
      <c r="B16" s="104" t="s">
        <v>118</v>
      </c>
      <c r="C16" s="1117" t="s">
        <v>314</v>
      </c>
      <c r="D16" s="1117"/>
      <c r="E16" s="383">
        <v>12000000</v>
      </c>
      <c r="F16" s="383">
        <v>12000000</v>
      </c>
      <c r="G16" s="383">
        <v>12000000</v>
      </c>
      <c r="H16" s="383"/>
      <c r="I16" s="383"/>
      <c r="J16" s="1020"/>
      <c r="K16" s="814"/>
      <c r="L16" s="383">
        <v>12000000</v>
      </c>
      <c r="M16" s="383">
        <v>12000000</v>
      </c>
      <c r="N16" s="383">
        <v>12000000</v>
      </c>
      <c r="O16" s="386"/>
      <c r="P16" s="386"/>
      <c r="Q16" s="386"/>
      <c r="R16" s="814" t="e">
        <f>Q16/P16</f>
        <v>#DIV/0!</v>
      </c>
      <c r="S16" s="383">
        <v>0</v>
      </c>
      <c r="T16" s="383">
        <v>0</v>
      </c>
      <c r="U16" s="383"/>
      <c r="V16" s="383"/>
      <c r="W16" s="383"/>
      <c r="X16" s="383"/>
      <c r="Y16" s="993"/>
    </row>
    <row r="17" spans="1:25" ht="21.75" customHeight="1">
      <c r="A17" s="108"/>
      <c r="B17" s="104" t="s">
        <v>52</v>
      </c>
      <c r="C17" s="1119" t="s">
        <v>315</v>
      </c>
      <c r="D17" s="1119"/>
      <c r="E17" s="383">
        <f aca="true" t="shared" si="8" ref="E17:J17">SUM(E18:E19)</f>
        <v>800000</v>
      </c>
      <c r="F17" s="383">
        <f>SUM(F18:F19)</f>
        <v>800000</v>
      </c>
      <c r="G17" s="383">
        <f>SUM(G18:G19)</f>
        <v>1604633</v>
      </c>
      <c r="H17" s="383">
        <f t="shared" si="8"/>
        <v>0</v>
      </c>
      <c r="I17" s="383">
        <f t="shared" si="8"/>
        <v>0</v>
      </c>
      <c r="J17" s="383">
        <f t="shared" si="8"/>
        <v>0</v>
      </c>
      <c r="K17" s="814" t="e">
        <f>J17/I17</f>
        <v>#DIV/0!</v>
      </c>
      <c r="L17" s="383">
        <f aca="true" t="shared" si="9" ref="L17:Q17">SUM(L18:L19)</f>
        <v>800000</v>
      </c>
      <c r="M17" s="383">
        <f>SUM(M18:M19)</f>
        <v>800000</v>
      </c>
      <c r="N17" s="383">
        <f>SUM(N18:N19)</f>
        <v>1604633</v>
      </c>
      <c r="O17" s="383">
        <f t="shared" si="9"/>
        <v>0</v>
      </c>
      <c r="P17" s="383">
        <f t="shared" si="9"/>
        <v>0</v>
      </c>
      <c r="Q17" s="383">
        <f t="shared" si="9"/>
        <v>0</v>
      </c>
      <c r="R17" s="814" t="e">
        <f>Q17/P17</f>
        <v>#DIV/0!</v>
      </c>
      <c r="S17" s="383">
        <v>0</v>
      </c>
      <c r="T17" s="383">
        <v>0</v>
      </c>
      <c r="U17" s="383"/>
      <c r="V17" s="383"/>
      <c r="W17" s="383"/>
      <c r="X17" s="383"/>
      <c r="Y17" s="994"/>
    </row>
    <row r="18" spans="1:25" ht="21.75" customHeight="1">
      <c r="A18" s="108"/>
      <c r="B18" s="104"/>
      <c r="C18" s="104" t="s">
        <v>316</v>
      </c>
      <c r="D18" s="602" t="s">
        <v>318</v>
      </c>
      <c r="E18" s="383">
        <v>0</v>
      </c>
      <c r="F18" s="383">
        <v>0</v>
      </c>
      <c r="G18" s="383">
        <v>0</v>
      </c>
      <c r="H18" s="383"/>
      <c r="I18" s="383"/>
      <c r="J18" s="1020"/>
      <c r="K18" s="814"/>
      <c r="L18" s="383">
        <v>0</v>
      </c>
      <c r="M18" s="383">
        <v>0</v>
      </c>
      <c r="N18" s="383">
        <v>0</v>
      </c>
      <c r="O18" s="383"/>
      <c r="P18" s="383"/>
      <c r="Q18" s="383"/>
      <c r="R18" s="814"/>
      <c r="S18" s="383">
        <v>0</v>
      </c>
      <c r="T18" s="383">
        <v>0</v>
      </c>
      <c r="U18" s="383"/>
      <c r="V18" s="383"/>
      <c r="W18" s="383"/>
      <c r="X18" s="383"/>
      <c r="Y18" s="993"/>
    </row>
    <row r="19" spans="1:25" ht="21.75" customHeight="1">
      <c r="A19" s="108"/>
      <c r="B19" s="104"/>
      <c r="C19" s="104" t="s">
        <v>317</v>
      </c>
      <c r="D19" s="602" t="s">
        <v>290</v>
      </c>
      <c r="E19" s="383">
        <v>800000</v>
      </c>
      <c r="F19" s="383">
        <f>800000</f>
        <v>800000</v>
      </c>
      <c r="G19" s="383">
        <f>800000+804633</f>
        <v>1604633</v>
      </c>
      <c r="H19" s="383"/>
      <c r="I19" s="383"/>
      <c r="J19" s="1020"/>
      <c r="K19" s="814"/>
      <c r="L19" s="383">
        <v>800000</v>
      </c>
      <c r="M19" s="383">
        <v>800000</v>
      </c>
      <c r="N19" s="383">
        <f>800000+804633</f>
        <v>1604633</v>
      </c>
      <c r="O19" s="386"/>
      <c r="P19" s="386"/>
      <c r="Q19" s="386"/>
      <c r="R19" s="814" t="e">
        <f aca="true" t="shared" si="10" ref="R19:R24">Q19/P19</f>
        <v>#DIV/0!</v>
      </c>
      <c r="S19" s="383">
        <v>0</v>
      </c>
      <c r="T19" s="383">
        <v>0</v>
      </c>
      <c r="U19" s="383"/>
      <c r="V19" s="383"/>
      <c r="W19" s="383"/>
      <c r="X19" s="383"/>
      <c r="Y19" s="993"/>
    </row>
    <row r="20" spans="1:25" ht="21.75" customHeight="1" thickBot="1">
      <c r="A20" s="484"/>
      <c r="B20" s="663" t="s">
        <v>53</v>
      </c>
      <c r="C20" s="1121" t="s">
        <v>319</v>
      </c>
      <c r="D20" s="1121"/>
      <c r="E20" s="483">
        <v>560000</v>
      </c>
      <c r="F20" s="483">
        <v>560000</v>
      </c>
      <c r="G20" s="483">
        <f>560000+20</f>
        <v>560020</v>
      </c>
      <c r="H20" s="483"/>
      <c r="I20" s="483"/>
      <c r="J20" s="1021"/>
      <c r="K20" s="1029"/>
      <c r="L20" s="483">
        <v>560000</v>
      </c>
      <c r="M20" s="483">
        <v>560000</v>
      </c>
      <c r="N20" s="483">
        <f>560000+20</f>
        <v>560020</v>
      </c>
      <c r="O20" s="386"/>
      <c r="P20" s="386"/>
      <c r="Q20" s="386"/>
      <c r="R20" s="1029" t="e">
        <f t="shared" si="10"/>
        <v>#DIV/0!</v>
      </c>
      <c r="S20" s="483">
        <v>0</v>
      </c>
      <c r="T20" s="483">
        <v>0</v>
      </c>
      <c r="U20" s="483"/>
      <c r="V20" s="483"/>
      <c r="W20" s="483"/>
      <c r="X20" s="483"/>
      <c r="Y20" s="995"/>
    </row>
    <row r="21" spans="1:26" ht="21.75" customHeight="1" thickBot="1">
      <c r="A21" s="111" t="s">
        <v>320</v>
      </c>
      <c r="B21" s="1115" t="s">
        <v>321</v>
      </c>
      <c r="C21" s="1115"/>
      <c r="D21" s="1115"/>
      <c r="E21" s="381">
        <f aca="true" t="shared" si="11" ref="E21:J21">E22+E23+E24+E28+E29+E30+E31</f>
        <v>17317918</v>
      </c>
      <c r="F21" s="381">
        <f>F22+F23+F24+F28+F29+F30+F31</f>
        <v>17317918</v>
      </c>
      <c r="G21" s="381">
        <f>G22+G23+G24+G28+G29+G30+G31</f>
        <v>18349833</v>
      </c>
      <c r="H21" s="381">
        <f t="shared" si="11"/>
        <v>0</v>
      </c>
      <c r="I21" s="381">
        <f t="shared" si="11"/>
        <v>0</v>
      </c>
      <c r="J21" s="381">
        <f t="shared" si="11"/>
        <v>0</v>
      </c>
      <c r="K21" s="991" t="e">
        <f>J21/I21</f>
        <v>#DIV/0!</v>
      </c>
      <c r="L21" s="381">
        <f aca="true" t="shared" si="12" ref="L21:Q21">L22+L23+L24+L28+L29+L30+L31</f>
        <v>17317918</v>
      </c>
      <c r="M21" s="381">
        <f>M22+M23+M24+M28+M29+M30+M31</f>
        <v>17317918</v>
      </c>
      <c r="N21" s="381">
        <f>N22+N23+N24+N28+N29+N30+N31</f>
        <v>18349833</v>
      </c>
      <c r="O21" s="381">
        <f t="shared" si="12"/>
        <v>0</v>
      </c>
      <c r="P21" s="381">
        <f t="shared" si="12"/>
        <v>0</v>
      </c>
      <c r="Q21" s="381">
        <f t="shared" si="12"/>
        <v>0</v>
      </c>
      <c r="R21" s="991" t="e">
        <f t="shared" si="10"/>
        <v>#DIV/0!</v>
      </c>
      <c r="S21" s="381">
        <f>SUM(S22:S31)</f>
        <v>0</v>
      </c>
      <c r="T21" s="381">
        <f>SUM(T22:T31)</f>
        <v>0</v>
      </c>
      <c r="U21" s="381">
        <f>U22+U23+U24+U28+U29+U30+U31</f>
        <v>0</v>
      </c>
      <c r="V21" s="381">
        <f>V22+V23+V24+V28+V29+V30+V31</f>
        <v>0</v>
      </c>
      <c r="W21" s="381">
        <f>W22+W23+W24+W28+W29+W30+W31</f>
        <v>0</v>
      </c>
      <c r="X21" s="381">
        <f>X22+X23+X24+X28+X29+X30+X31</f>
        <v>0</v>
      </c>
      <c r="Y21" s="996" t="e">
        <f>W21/V21</f>
        <v>#DIV/0!</v>
      </c>
      <c r="Z21" s="339"/>
    </row>
    <row r="22" spans="1:25" ht="21.75" customHeight="1">
      <c r="A22" s="109"/>
      <c r="B22" s="110" t="s">
        <v>42</v>
      </c>
      <c r="C22" s="1118" t="s">
        <v>322</v>
      </c>
      <c r="D22" s="1118"/>
      <c r="E22" s="382">
        <v>170000</v>
      </c>
      <c r="F22" s="382">
        <v>170000</v>
      </c>
      <c r="G22" s="382">
        <f>170000+181500</f>
        <v>351500</v>
      </c>
      <c r="H22" s="382"/>
      <c r="I22" s="382"/>
      <c r="J22" s="1022"/>
      <c r="K22" s="814"/>
      <c r="L22" s="382">
        <v>170000</v>
      </c>
      <c r="M22" s="382">
        <v>170000</v>
      </c>
      <c r="N22" s="382">
        <f>170000+181500</f>
        <v>351500</v>
      </c>
      <c r="O22" s="386"/>
      <c r="P22" s="386"/>
      <c r="Q22" s="386"/>
      <c r="R22" s="814" t="e">
        <f t="shared" si="10"/>
        <v>#DIV/0!</v>
      </c>
      <c r="S22" s="382">
        <v>0</v>
      </c>
      <c r="T22" s="382">
        <v>0</v>
      </c>
      <c r="U22" s="382"/>
      <c r="V22" s="382"/>
      <c r="W22" s="382"/>
      <c r="X22" s="382"/>
      <c r="Y22" s="997"/>
    </row>
    <row r="23" spans="1:25" ht="21.75" customHeight="1">
      <c r="A23" s="108"/>
      <c r="B23" s="104" t="s">
        <v>43</v>
      </c>
      <c r="C23" s="1108" t="s">
        <v>357</v>
      </c>
      <c r="D23" s="1108"/>
      <c r="E23" s="386">
        <v>5783000</v>
      </c>
      <c r="F23" s="386">
        <v>5783000</v>
      </c>
      <c r="G23" s="386">
        <v>5783000</v>
      </c>
      <c r="H23" s="386"/>
      <c r="I23" s="386"/>
      <c r="J23" s="1023"/>
      <c r="K23" s="814"/>
      <c r="L23" s="386">
        <v>5783000</v>
      </c>
      <c r="M23" s="386">
        <v>5783000</v>
      </c>
      <c r="N23" s="386">
        <v>5783000</v>
      </c>
      <c r="O23" s="386"/>
      <c r="P23" s="386"/>
      <c r="Q23" s="386"/>
      <c r="R23" s="814" t="e">
        <f t="shared" si="10"/>
        <v>#DIV/0!</v>
      </c>
      <c r="S23" s="386">
        <v>0</v>
      </c>
      <c r="T23" s="386">
        <v>0</v>
      </c>
      <c r="U23" s="386"/>
      <c r="V23" s="386"/>
      <c r="W23" s="386"/>
      <c r="X23" s="386"/>
      <c r="Y23" s="998"/>
    </row>
    <row r="24" spans="1:25" ht="21.75" customHeight="1">
      <c r="A24" s="108"/>
      <c r="B24" s="104" t="s">
        <v>44</v>
      </c>
      <c r="C24" s="1108" t="s">
        <v>324</v>
      </c>
      <c r="D24" s="1108"/>
      <c r="E24" s="386">
        <f aca="true" t="shared" si="13" ref="E24:J24">SUM(E25:E27)</f>
        <v>9403508</v>
      </c>
      <c r="F24" s="386">
        <f>SUM(F25:F27)</f>
        <v>9403508</v>
      </c>
      <c r="G24" s="386">
        <f>SUM(G25:G27)</f>
        <v>9871016</v>
      </c>
      <c r="H24" s="386">
        <f t="shared" si="13"/>
        <v>0</v>
      </c>
      <c r="I24" s="386">
        <f t="shared" si="13"/>
        <v>0</v>
      </c>
      <c r="J24" s="386">
        <f t="shared" si="13"/>
        <v>0</v>
      </c>
      <c r="K24" s="814" t="e">
        <f>J24/I24</f>
        <v>#DIV/0!</v>
      </c>
      <c r="L24" s="386">
        <f aca="true" t="shared" si="14" ref="L24:Q24">SUM(L25:L27)</f>
        <v>9403508</v>
      </c>
      <c r="M24" s="386">
        <f>SUM(M25:M27)</f>
        <v>9403508</v>
      </c>
      <c r="N24" s="386">
        <f>SUM(N25:N27)</f>
        <v>9871016</v>
      </c>
      <c r="O24" s="386">
        <f t="shared" si="14"/>
        <v>0</v>
      </c>
      <c r="P24" s="386">
        <f t="shared" si="14"/>
        <v>0</v>
      </c>
      <c r="Q24" s="386">
        <f t="shared" si="14"/>
        <v>0</v>
      </c>
      <c r="R24" s="814" t="e">
        <f t="shared" si="10"/>
        <v>#DIV/0!</v>
      </c>
      <c r="S24" s="386">
        <v>0</v>
      </c>
      <c r="T24" s="386">
        <v>0</v>
      </c>
      <c r="U24" s="386"/>
      <c r="V24" s="386"/>
      <c r="W24" s="386"/>
      <c r="X24" s="386"/>
      <c r="Y24" s="998" t="e">
        <f>W24/V24</f>
        <v>#DIV/0!</v>
      </c>
    </row>
    <row r="25" spans="1:25" ht="21.75" customHeight="1">
      <c r="A25" s="108"/>
      <c r="B25" s="104"/>
      <c r="C25" s="104" t="s">
        <v>101</v>
      </c>
      <c r="D25" s="344" t="s">
        <v>325</v>
      </c>
      <c r="E25" s="386">
        <v>9403508</v>
      </c>
      <c r="F25" s="386">
        <v>9403508</v>
      </c>
      <c r="G25" s="386">
        <f>9403508+77150</f>
        <v>9480658</v>
      </c>
      <c r="H25" s="386"/>
      <c r="I25" s="386"/>
      <c r="J25" s="1023"/>
      <c r="K25" s="814"/>
      <c r="L25" s="386">
        <v>9403508</v>
      </c>
      <c r="M25" s="386">
        <v>9403508</v>
      </c>
      <c r="N25" s="386">
        <f>9403508+77150</f>
        <v>9480658</v>
      </c>
      <c r="O25" s="386"/>
      <c r="P25" s="386"/>
      <c r="Q25" s="386"/>
      <c r="R25" s="814"/>
      <c r="S25" s="386">
        <v>0</v>
      </c>
      <c r="T25" s="386">
        <v>0</v>
      </c>
      <c r="U25" s="386"/>
      <c r="V25" s="386"/>
      <c r="W25" s="386"/>
      <c r="X25" s="386"/>
      <c r="Y25" s="998" t="e">
        <f>W25/V25</f>
        <v>#DIV/0!</v>
      </c>
    </row>
    <row r="26" spans="1:25" ht="41.25" customHeight="1">
      <c r="A26" s="108"/>
      <c r="B26" s="104"/>
      <c r="C26" s="104" t="s">
        <v>102</v>
      </c>
      <c r="D26" s="344" t="s">
        <v>326</v>
      </c>
      <c r="E26" s="386">
        <v>0</v>
      </c>
      <c r="F26" s="386">
        <v>0</v>
      </c>
      <c r="G26" s="386">
        <v>390358</v>
      </c>
      <c r="H26" s="386"/>
      <c r="I26" s="386"/>
      <c r="J26" s="1023"/>
      <c r="K26" s="814"/>
      <c r="L26" s="386">
        <v>0</v>
      </c>
      <c r="M26" s="386">
        <v>0</v>
      </c>
      <c r="N26" s="386">
        <v>390358</v>
      </c>
      <c r="O26" s="386"/>
      <c r="P26" s="386"/>
      <c r="Q26" s="386"/>
      <c r="R26" s="814"/>
      <c r="S26" s="386">
        <v>0</v>
      </c>
      <c r="T26" s="386">
        <v>0</v>
      </c>
      <c r="U26" s="386"/>
      <c r="V26" s="386"/>
      <c r="W26" s="386"/>
      <c r="X26" s="386"/>
      <c r="Y26" s="998"/>
    </row>
    <row r="27" spans="1:25" ht="21.75" customHeight="1">
      <c r="A27" s="108"/>
      <c r="B27" s="104"/>
      <c r="C27" s="104" t="s">
        <v>103</v>
      </c>
      <c r="D27" s="344" t="s">
        <v>327</v>
      </c>
      <c r="E27" s="386">
        <v>0</v>
      </c>
      <c r="F27" s="386">
        <v>0</v>
      </c>
      <c r="G27" s="386">
        <v>0</v>
      </c>
      <c r="H27" s="386"/>
      <c r="I27" s="386"/>
      <c r="J27" s="1023"/>
      <c r="K27" s="998"/>
      <c r="L27" s="386">
        <v>0</v>
      </c>
      <c r="M27" s="386">
        <v>0</v>
      </c>
      <c r="N27" s="386">
        <v>0</v>
      </c>
      <c r="O27" s="386"/>
      <c r="P27" s="386"/>
      <c r="Q27" s="386"/>
      <c r="R27" s="998"/>
      <c r="S27" s="386">
        <v>0</v>
      </c>
      <c r="T27" s="386">
        <v>0</v>
      </c>
      <c r="U27" s="386"/>
      <c r="V27" s="386"/>
      <c r="W27" s="386"/>
      <c r="X27" s="386"/>
      <c r="Y27" s="998"/>
    </row>
    <row r="28" spans="1:25" ht="21.75" customHeight="1">
      <c r="A28" s="108"/>
      <c r="B28" s="104" t="s">
        <v>291</v>
      </c>
      <c r="C28" s="1108" t="s">
        <v>328</v>
      </c>
      <c r="D28" s="1108"/>
      <c r="E28" s="386">
        <v>1561410</v>
      </c>
      <c r="F28" s="386">
        <v>1561410</v>
      </c>
      <c r="G28" s="386">
        <f>1561410+49005</f>
        <v>1610415</v>
      </c>
      <c r="H28" s="386"/>
      <c r="I28" s="386"/>
      <c r="J28" s="1023"/>
      <c r="K28" s="814"/>
      <c r="L28" s="386">
        <v>1561410</v>
      </c>
      <c r="M28" s="386">
        <v>1561410</v>
      </c>
      <c r="N28" s="386">
        <f>1561410+49005</f>
        <v>1610415</v>
      </c>
      <c r="O28" s="386"/>
      <c r="P28" s="386"/>
      <c r="Q28" s="386"/>
      <c r="R28" s="814" t="e">
        <f>Q28/P28</f>
        <v>#DIV/0!</v>
      </c>
      <c r="S28" s="386">
        <v>0</v>
      </c>
      <c r="T28" s="386">
        <v>0</v>
      </c>
      <c r="U28" s="386"/>
      <c r="V28" s="386"/>
      <c r="W28" s="386"/>
      <c r="X28" s="386"/>
      <c r="Y28" s="998"/>
    </row>
    <row r="29" spans="1:25" ht="21.75" customHeight="1">
      <c r="A29" s="112"/>
      <c r="B29" s="113" t="s">
        <v>329</v>
      </c>
      <c r="C29" s="1108" t="s">
        <v>330</v>
      </c>
      <c r="D29" s="1108"/>
      <c r="E29" s="386">
        <v>0</v>
      </c>
      <c r="F29" s="386">
        <v>0</v>
      </c>
      <c r="G29" s="386">
        <v>0</v>
      </c>
      <c r="H29" s="386"/>
      <c r="I29" s="386"/>
      <c r="J29" s="1023"/>
      <c r="K29" s="998"/>
      <c r="L29" s="386">
        <v>0</v>
      </c>
      <c r="M29" s="386">
        <v>0</v>
      </c>
      <c r="N29" s="386">
        <v>0</v>
      </c>
      <c r="O29" s="386"/>
      <c r="P29" s="386"/>
      <c r="Q29" s="386"/>
      <c r="R29" s="998"/>
      <c r="S29" s="386">
        <v>0</v>
      </c>
      <c r="T29" s="386">
        <v>0</v>
      </c>
      <c r="U29" s="386"/>
      <c r="V29" s="386"/>
      <c r="W29" s="386"/>
      <c r="X29" s="386"/>
      <c r="Y29" s="998"/>
    </row>
    <row r="30" spans="1:25" ht="21.75" customHeight="1">
      <c r="A30" s="112"/>
      <c r="B30" s="113" t="s">
        <v>331</v>
      </c>
      <c r="C30" s="1108" t="s">
        <v>332</v>
      </c>
      <c r="D30" s="1108"/>
      <c r="E30" s="386">
        <v>400000</v>
      </c>
      <c r="F30" s="386">
        <v>400000</v>
      </c>
      <c r="G30" s="386">
        <v>400000</v>
      </c>
      <c r="H30" s="386"/>
      <c r="I30" s="386"/>
      <c r="J30" s="1023"/>
      <c r="K30" s="814"/>
      <c r="L30" s="386">
        <v>400000</v>
      </c>
      <c r="M30" s="386">
        <v>400000</v>
      </c>
      <c r="N30" s="386">
        <v>400000</v>
      </c>
      <c r="O30" s="386"/>
      <c r="P30" s="386"/>
      <c r="Q30" s="386"/>
      <c r="R30" s="814" t="e">
        <f aca="true" t="shared" si="15" ref="R30:R35">Q30/P30</f>
        <v>#DIV/0!</v>
      </c>
      <c r="S30" s="386">
        <v>0</v>
      </c>
      <c r="T30" s="386">
        <v>0</v>
      </c>
      <c r="U30" s="386"/>
      <c r="V30" s="386"/>
      <c r="W30" s="386"/>
      <c r="X30" s="386"/>
      <c r="Y30" s="998"/>
    </row>
    <row r="31" spans="1:25" ht="21.75" customHeight="1" thickBot="1">
      <c r="A31" s="112"/>
      <c r="B31" s="113" t="s">
        <v>74</v>
      </c>
      <c r="C31" s="1124" t="s">
        <v>75</v>
      </c>
      <c r="D31" s="1124"/>
      <c r="E31" s="386">
        <v>0</v>
      </c>
      <c r="F31" s="386">
        <v>0</v>
      </c>
      <c r="G31" s="386">
        <v>333902</v>
      </c>
      <c r="H31" s="386"/>
      <c r="I31" s="386"/>
      <c r="J31" s="1023"/>
      <c r="K31" s="814"/>
      <c r="L31" s="386">
        <v>0</v>
      </c>
      <c r="M31" s="386">
        <v>0</v>
      </c>
      <c r="N31" s="386">
        <v>333902</v>
      </c>
      <c r="O31" s="386"/>
      <c r="P31" s="386"/>
      <c r="Q31" s="386"/>
      <c r="R31" s="814" t="e">
        <f t="shared" si="15"/>
        <v>#DIV/0!</v>
      </c>
      <c r="S31" s="386">
        <v>0</v>
      </c>
      <c r="T31" s="386">
        <v>0</v>
      </c>
      <c r="U31" s="386"/>
      <c r="V31" s="386"/>
      <c r="W31" s="386"/>
      <c r="X31" s="386"/>
      <c r="Y31" s="998"/>
    </row>
    <row r="32" spans="1:25" ht="21.75" customHeight="1" thickBot="1">
      <c r="A32" s="115" t="s">
        <v>10</v>
      </c>
      <c r="B32" s="1115" t="s">
        <v>333</v>
      </c>
      <c r="C32" s="1115"/>
      <c r="D32" s="1115"/>
      <c r="E32" s="376">
        <f aca="true" t="shared" si="16" ref="E32:J32">SUM(E33:E37)</f>
        <v>278607033</v>
      </c>
      <c r="F32" s="376">
        <f>SUM(F33:F37)</f>
        <v>278607033</v>
      </c>
      <c r="G32" s="376">
        <f>SUM(G33:G37)</f>
        <v>279487420</v>
      </c>
      <c r="H32" s="376">
        <f t="shared" si="16"/>
        <v>0</v>
      </c>
      <c r="I32" s="376">
        <f t="shared" si="16"/>
        <v>0</v>
      </c>
      <c r="J32" s="376">
        <f t="shared" si="16"/>
        <v>0</v>
      </c>
      <c r="K32" s="991" t="e">
        <f>J32/I32</f>
        <v>#DIV/0!</v>
      </c>
      <c r="L32" s="376">
        <f aca="true" t="shared" si="17" ref="L32:Q32">SUM(L33:L37)</f>
        <v>278607033</v>
      </c>
      <c r="M32" s="376">
        <f>SUM(M33:M37)</f>
        <v>278607033</v>
      </c>
      <c r="N32" s="376">
        <f>SUM(N33:N37)</f>
        <v>279487420</v>
      </c>
      <c r="O32" s="376">
        <f t="shared" si="17"/>
        <v>0</v>
      </c>
      <c r="P32" s="376">
        <f t="shared" si="17"/>
        <v>0</v>
      </c>
      <c r="Q32" s="376">
        <f t="shared" si="17"/>
        <v>0</v>
      </c>
      <c r="R32" s="991" t="e">
        <f t="shared" si="15"/>
        <v>#DIV/0!</v>
      </c>
      <c r="S32" s="376">
        <v>0</v>
      </c>
      <c r="T32" s="376">
        <v>0</v>
      </c>
      <c r="U32" s="376"/>
      <c r="V32" s="376"/>
      <c r="W32" s="376"/>
      <c r="X32" s="376"/>
      <c r="Y32" s="799"/>
    </row>
    <row r="33" spans="1:27" ht="21.75" customHeight="1">
      <c r="A33" s="109"/>
      <c r="B33" s="113" t="s">
        <v>45</v>
      </c>
      <c r="C33" s="1133" t="s">
        <v>334</v>
      </c>
      <c r="D33" s="1133"/>
      <c r="E33" s="679">
        <v>237504190</v>
      </c>
      <c r="F33" s="679">
        <f>237504190+3088562</f>
        <v>240592752</v>
      </c>
      <c r="G33" s="679">
        <f>237504190+3088562+4188841+761116</f>
        <v>245542709</v>
      </c>
      <c r="H33" s="679"/>
      <c r="I33" s="679"/>
      <c r="J33" s="1024"/>
      <c r="K33" s="814"/>
      <c r="L33" s="679">
        <v>237504190</v>
      </c>
      <c r="M33" s="679">
        <f>F33</f>
        <v>240592752</v>
      </c>
      <c r="N33" s="679">
        <f>237504190+3088562+4188841</f>
        <v>244781593</v>
      </c>
      <c r="O33" s="386"/>
      <c r="P33" s="386"/>
      <c r="Q33" s="386"/>
      <c r="R33" s="814" t="e">
        <f t="shared" si="15"/>
        <v>#DIV/0!</v>
      </c>
      <c r="S33" s="679">
        <v>0</v>
      </c>
      <c r="T33" s="679">
        <v>0</v>
      </c>
      <c r="U33" s="679"/>
      <c r="V33" s="679"/>
      <c r="W33" s="679"/>
      <c r="X33" s="679"/>
      <c r="Y33" s="999"/>
      <c r="AA33" s="339"/>
    </row>
    <row r="34" spans="1:25" ht="21.75" customHeight="1">
      <c r="A34" s="108"/>
      <c r="B34" s="113" t="s">
        <v>46</v>
      </c>
      <c r="C34" s="1108" t="s">
        <v>335</v>
      </c>
      <c r="D34" s="1108"/>
      <c r="E34" s="386">
        <v>0</v>
      </c>
      <c r="F34" s="386">
        <v>0</v>
      </c>
      <c r="G34" s="386">
        <v>3399025</v>
      </c>
      <c r="H34" s="386"/>
      <c r="I34" s="386"/>
      <c r="J34" s="1023"/>
      <c r="K34" s="814"/>
      <c r="L34" s="386">
        <v>0</v>
      </c>
      <c r="M34" s="386">
        <v>0</v>
      </c>
      <c r="N34" s="386">
        <v>3399025</v>
      </c>
      <c r="O34" s="386"/>
      <c r="P34" s="386"/>
      <c r="Q34" s="386"/>
      <c r="R34" s="814" t="e">
        <f t="shared" si="15"/>
        <v>#DIV/0!</v>
      </c>
      <c r="S34" s="386">
        <v>0</v>
      </c>
      <c r="T34" s="386">
        <v>0</v>
      </c>
      <c r="U34" s="386"/>
      <c r="V34" s="386"/>
      <c r="W34" s="386"/>
      <c r="X34" s="386"/>
      <c r="Y34" s="998"/>
    </row>
    <row r="35" spans="1:25" ht="21.75" customHeight="1">
      <c r="A35" s="108"/>
      <c r="B35" s="113" t="s">
        <v>72</v>
      </c>
      <c r="C35" s="1108" t="s">
        <v>508</v>
      </c>
      <c r="D35" s="1108"/>
      <c r="E35" s="386">
        <v>0</v>
      </c>
      <c r="F35" s="386">
        <v>0</v>
      </c>
      <c r="G35" s="386">
        <v>0</v>
      </c>
      <c r="H35" s="386"/>
      <c r="I35" s="386"/>
      <c r="J35" s="1023"/>
      <c r="K35" s="814"/>
      <c r="L35" s="386">
        <v>0</v>
      </c>
      <c r="M35" s="386">
        <v>0</v>
      </c>
      <c r="N35" s="386">
        <v>0</v>
      </c>
      <c r="O35" s="386"/>
      <c r="P35" s="386"/>
      <c r="Q35" s="386"/>
      <c r="R35" s="814" t="e">
        <f t="shared" si="15"/>
        <v>#DIV/0!</v>
      </c>
      <c r="S35" s="386">
        <v>0</v>
      </c>
      <c r="T35" s="386">
        <v>0</v>
      </c>
      <c r="U35" s="386"/>
      <c r="V35" s="386"/>
      <c r="W35" s="386"/>
      <c r="X35" s="386"/>
      <c r="Y35" s="998"/>
    </row>
    <row r="36" spans="1:25" ht="21.75" customHeight="1">
      <c r="A36" s="108"/>
      <c r="B36" s="113" t="s">
        <v>73</v>
      </c>
      <c r="C36" s="1108" t="s">
        <v>388</v>
      </c>
      <c r="D36" s="1108"/>
      <c r="E36" s="386">
        <v>0</v>
      </c>
      <c r="F36" s="386">
        <v>0</v>
      </c>
      <c r="G36" s="386">
        <v>0</v>
      </c>
      <c r="H36" s="386"/>
      <c r="I36" s="386"/>
      <c r="J36" s="1023"/>
      <c r="K36" s="998"/>
      <c r="L36" s="386">
        <v>0</v>
      </c>
      <c r="M36" s="386">
        <v>0</v>
      </c>
      <c r="N36" s="386">
        <v>0</v>
      </c>
      <c r="O36" s="386"/>
      <c r="P36" s="386"/>
      <c r="Q36" s="386"/>
      <c r="R36" s="998"/>
      <c r="S36" s="386">
        <v>0</v>
      </c>
      <c r="T36" s="386">
        <v>0</v>
      </c>
      <c r="U36" s="386"/>
      <c r="V36" s="386"/>
      <c r="W36" s="386"/>
      <c r="X36" s="386"/>
      <c r="Y36" s="998"/>
    </row>
    <row r="37" spans="1:25" ht="21.75" customHeight="1">
      <c r="A37" s="108"/>
      <c r="B37" s="113" t="s">
        <v>384</v>
      </c>
      <c r="C37" s="1108" t="s">
        <v>336</v>
      </c>
      <c r="D37" s="1108"/>
      <c r="E37" s="386">
        <f aca="true" t="shared" si="18" ref="E37:J37">SUM(E38:E40)</f>
        <v>41102843</v>
      </c>
      <c r="F37" s="386">
        <f>SUM(F38:F40)</f>
        <v>38014281</v>
      </c>
      <c r="G37" s="386">
        <f>SUM(G38:G40)</f>
        <v>30545686</v>
      </c>
      <c r="H37" s="386">
        <f t="shared" si="18"/>
        <v>0</v>
      </c>
      <c r="I37" s="386">
        <f t="shared" si="18"/>
        <v>0</v>
      </c>
      <c r="J37" s="386">
        <f t="shared" si="18"/>
        <v>0</v>
      </c>
      <c r="K37" s="814" t="e">
        <f>J37/I37</f>
        <v>#DIV/0!</v>
      </c>
      <c r="L37" s="386">
        <f aca="true" t="shared" si="19" ref="L37:Q37">SUM(L38:L40)</f>
        <v>41102843</v>
      </c>
      <c r="M37" s="386">
        <f>SUM(M38:M40)</f>
        <v>38014281</v>
      </c>
      <c r="N37" s="386">
        <f>SUM(N38:N40)</f>
        <v>31306802</v>
      </c>
      <c r="O37" s="386">
        <f t="shared" si="19"/>
        <v>0</v>
      </c>
      <c r="P37" s="386">
        <f t="shared" si="19"/>
        <v>0</v>
      </c>
      <c r="Q37" s="386">
        <f t="shared" si="19"/>
        <v>0</v>
      </c>
      <c r="R37" s="814" t="e">
        <f>Q37/P37</f>
        <v>#DIV/0!</v>
      </c>
      <c r="S37" s="386">
        <v>0</v>
      </c>
      <c r="T37" s="386">
        <v>0</v>
      </c>
      <c r="U37" s="386"/>
      <c r="V37" s="386"/>
      <c r="W37" s="386"/>
      <c r="X37" s="386"/>
      <c r="Y37" s="998"/>
    </row>
    <row r="38" spans="1:25" ht="21.75" customHeight="1">
      <c r="A38" s="108"/>
      <c r="B38" s="113"/>
      <c r="C38" s="110" t="s">
        <v>385</v>
      </c>
      <c r="D38" s="664" t="s">
        <v>36</v>
      </c>
      <c r="E38" s="386">
        <v>7690835</v>
      </c>
      <c r="F38" s="386">
        <v>7690835</v>
      </c>
      <c r="G38" s="386">
        <v>7690835</v>
      </c>
      <c r="H38" s="386"/>
      <c r="I38" s="386"/>
      <c r="J38" s="1023"/>
      <c r="K38" s="814"/>
      <c r="L38" s="386">
        <v>7690835</v>
      </c>
      <c r="M38" s="386">
        <v>7690835</v>
      </c>
      <c r="N38" s="386">
        <v>7690835</v>
      </c>
      <c r="O38" s="386"/>
      <c r="P38" s="386"/>
      <c r="Q38" s="386"/>
      <c r="R38" s="814" t="e">
        <f>Q38/P38</f>
        <v>#DIV/0!</v>
      </c>
      <c r="S38" s="386">
        <v>0</v>
      </c>
      <c r="T38" s="386">
        <v>0</v>
      </c>
      <c r="U38" s="386"/>
      <c r="V38" s="386"/>
      <c r="W38" s="386"/>
      <c r="X38" s="386"/>
      <c r="Y38" s="998"/>
    </row>
    <row r="39" spans="1:25" ht="21.75" customHeight="1">
      <c r="A39" s="108"/>
      <c r="B39" s="113"/>
      <c r="C39" s="104" t="s">
        <v>386</v>
      </c>
      <c r="D39" s="344" t="s">
        <v>35</v>
      </c>
      <c r="E39" s="386">
        <v>0</v>
      </c>
      <c r="F39" s="386">
        <v>0</v>
      </c>
      <c r="G39" s="386">
        <v>0</v>
      </c>
      <c r="H39" s="386"/>
      <c r="I39" s="386"/>
      <c r="J39" s="1023"/>
      <c r="K39" s="998"/>
      <c r="L39" s="386">
        <v>0</v>
      </c>
      <c r="M39" s="386">
        <v>0</v>
      </c>
      <c r="N39" s="386">
        <v>0</v>
      </c>
      <c r="O39" s="386"/>
      <c r="P39" s="386"/>
      <c r="Q39" s="386"/>
      <c r="R39" s="998"/>
      <c r="S39" s="386">
        <v>0</v>
      </c>
      <c r="T39" s="386">
        <v>0</v>
      </c>
      <c r="U39" s="386"/>
      <c r="V39" s="386"/>
      <c r="W39" s="386"/>
      <c r="X39" s="386"/>
      <c r="Y39" s="998"/>
    </row>
    <row r="40" spans="1:25" ht="21.75" customHeight="1" thickBot="1">
      <c r="A40" s="108"/>
      <c r="B40" s="113"/>
      <c r="C40" s="104" t="s">
        <v>387</v>
      </c>
      <c r="D40" s="344" t="s">
        <v>37</v>
      </c>
      <c r="E40" s="603">
        <v>33412008</v>
      </c>
      <c r="F40" s="603">
        <f>33412008-1479698-1608864</f>
        <v>30323446</v>
      </c>
      <c r="G40" s="603">
        <f>33412008-1479698-1608864-7587866+2500+877887-761116</f>
        <v>22854851</v>
      </c>
      <c r="H40" s="603"/>
      <c r="I40" s="603"/>
      <c r="J40" s="1025"/>
      <c r="K40" s="814"/>
      <c r="L40" s="603">
        <v>33412008</v>
      </c>
      <c r="M40" s="603">
        <f>F40</f>
        <v>30323446</v>
      </c>
      <c r="N40" s="603">
        <f>33412008-1479698-1608864-7587866+2500+877887</f>
        <v>23615967</v>
      </c>
      <c r="O40" s="386"/>
      <c r="P40" s="386"/>
      <c r="Q40" s="386"/>
      <c r="R40" s="814" t="e">
        <f>Q40/P40</f>
        <v>#DIV/0!</v>
      </c>
      <c r="S40" s="603">
        <v>0</v>
      </c>
      <c r="T40" s="603">
        <v>0</v>
      </c>
      <c r="U40" s="603"/>
      <c r="V40" s="603"/>
      <c r="W40" s="603"/>
      <c r="X40" s="603"/>
      <c r="Y40" s="1000"/>
    </row>
    <row r="41" spans="1:25" ht="21.75" customHeight="1" thickBot="1">
      <c r="A41" s="115" t="s">
        <v>11</v>
      </c>
      <c r="B41" s="1125" t="s">
        <v>337</v>
      </c>
      <c r="C41" s="1125"/>
      <c r="D41" s="1125"/>
      <c r="E41" s="376">
        <f aca="true" t="shared" si="20" ref="E41:J41">SUM(E42:E43)</f>
        <v>6000000</v>
      </c>
      <c r="F41" s="376">
        <f>SUM(F42:F43)</f>
        <v>6000000</v>
      </c>
      <c r="G41" s="376">
        <f>SUM(G42:G43)</f>
        <v>6000000</v>
      </c>
      <c r="H41" s="376">
        <f t="shared" si="20"/>
        <v>0</v>
      </c>
      <c r="I41" s="376">
        <f t="shared" si="20"/>
        <v>0</v>
      </c>
      <c r="J41" s="376">
        <f t="shared" si="20"/>
        <v>0</v>
      </c>
      <c r="K41" s="991" t="e">
        <f>J41/I41</f>
        <v>#DIV/0!</v>
      </c>
      <c r="L41" s="376">
        <f aca="true" t="shared" si="21" ref="L41:Q41">SUM(L42:L43)</f>
        <v>6000000</v>
      </c>
      <c r="M41" s="376">
        <f>SUM(M42:M43)</f>
        <v>6000000</v>
      </c>
      <c r="N41" s="376">
        <f>SUM(N42:N43)</f>
        <v>6000000</v>
      </c>
      <c r="O41" s="376">
        <f t="shared" si="21"/>
        <v>0</v>
      </c>
      <c r="P41" s="376">
        <f t="shared" si="21"/>
        <v>0</v>
      </c>
      <c r="Q41" s="376">
        <f t="shared" si="21"/>
        <v>0</v>
      </c>
      <c r="R41" s="991" t="e">
        <f>Q41/P41</f>
        <v>#DIV/0!</v>
      </c>
      <c r="S41" s="376">
        <f aca="true" t="shared" si="22" ref="S41:X41">SUM(S42:S43)</f>
        <v>0</v>
      </c>
      <c r="T41" s="376">
        <f>SUM(T42:T43)</f>
        <v>0</v>
      </c>
      <c r="U41" s="376">
        <f t="shared" si="22"/>
        <v>0</v>
      </c>
      <c r="V41" s="376">
        <f t="shared" si="22"/>
        <v>0</v>
      </c>
      <c r="W41" s="376">
        <f t="shared" si="22"/>
        <v>0</v>
      </c>
      <c r="X41" s="376">
        <f t="shared" si="22"/>
        <v>0</v>
      </c>
      <c r="Y41" s="799"/>
    </row>
    <row r="42" spans="1:25" ht="21.75" customHeight="1">
      <c r="A42" s="109"/>
      <c r="B42" s="116" t="s">
        <v>338</v>
      </c>
      <c r="C42" s="1118" t="s">
        <v>340</v>
      </c>
      <c r="D42" s="1118"/>
      <c r="E42" s="384">
        <v>0</v>
      </c>
      <c r="F42" s="384">
        <v>0</v>
      </c>
      <c r="G42" s="384">
        <v>0</v>
      </c>
      <c r="H42" s="384"/>
      <c r="I42" s="384"/>
      <c r="J42" s="1026"/>
      <c r="K42" s="1001"/>
      <c r="L42" s="384">
        <v>0</v>
      </c>
      <c r="M42" s="384">
        <v>0</v>
      </c>
      <c r="N42" s="384">
        <v>0</v>
      </c>
      <c r="O42" s="384"/>
      <c r="P42" s="384"/>
      <c r="Q42" s="384"/>
      <c r="R42" s="1001"/>
      <c r="S42" s="384">
        <v>0</v>
      </c>
      <c r="T42" s="384">
        <v>0</v>
      </c>
      <c r="U42" s="384"/>
      <c r="V42" s="384"/>
      <c r="W42" s="384"/>
      <c r="X42" s="384"/>
      <c r="Y42" s="1001"/>
    </row>
    <row r="43" spans="1:25" ht="21.75" customHeight="1">
      <c r="A43" s="108"/>
      <c r="B43" s="105" t="s">
        <v>339</v>
      </c>
      <c r="C43" s="1108" t="s">
        <v>341</v>
      </c>
      <c r="D43" s="1108"/>
      <c r="E43" s="386">
        <f aca="true" t="shared" si="23" ref="E43:J43">SUM(E44:E46)</f>
        <v>6000000</v>
      </c>
      <c r="F43" s="386">
        <f>SUM(F44:F46)</f>
        <v>6000000</v>
      </c>
      <c r="G43" s="386">
        <f>SUM(G44:G46)</f>
        <v>6000000</v>
      </c>
      <c r="H43" s="386">
        <f t="shared" si="23"/>
        <v>0</v>
      </c>
      <c r="I43" s="386">
        <f t="shared" si="23"/>
        <v>0</v>
      </c>
      <c r="J43" s="386">
        <f t="shared" si="23"/>
        <v>0</v>
      </c>
      <c r="K43" s="814" t="e">
        <f>J43/I43</f>
        <v>#DIV/0!</v>
      </c>
      <c r="L43" s="386">
        <f aca="true" t="shared" si="24" ref="L43:Q43">SUM(L44:L46)</f>
        <v>6000000</v>
      </c>
      <c r="M43" s="386">
        <f>SUM(M44:M46)</f>
        <v>6000000</v>
      </c>
      <c r="N43" s="386">
        <f>SUM(N44:N46)</f>
        <v>6000000</v>
      </c>
      <c r="O43" s="386">
        <f t="shared" si="24"/>
        <v>0</v>
      </c>
      <c r="P43" s="386">
        <f t="shared" si="24"/>
        <v>0</v>
      </c>
      <c r="Q43" s="386">
        <f t="shared" si="24"/>
        <v>0</v>
      </c>
      <c r="R43" s="814" t="e">
        <f>Q43/P43</f>
        <v>#DIV/0!</v>
      </c>
      <c r="S43" s="386">
        <f aca="true" t="shared" si="25" ref="S43:X43">SUM(S44:S46)</f>
        <v>0</v>
      </c>
      <c r="T43" s="386">
        <f>SUM(T44:T46)</f>
        <v>0</v>
      </c>
      <c r="U43" s="386">
        <f t="shared" si="25"/>
        <v>0</v>
      </c>
      <c r="V43" s="386">
        <f t="shared" si="25"/>
        <v>0</v>
      </c>
      <c r="W43" s="386">
        <f t="shared" si="25"/>
        <v>0</v>
      </c>
      <c r="X43" s="386">
        <f t="shared" si="25"/>
        <v>0</v>
      </c>
      <c r="Y43" s="998"/>
    </row>
    <row r="44" spans="1:25" ht="21.75" customHeight="1">
      <c r="A44" s="108"/>
      <c r="B44" s="116"/>
      <c r="C44" s="110" t="s">
        <v>342</v>
      </c>
      <c r="D44" s="664" t="s">
        <v>36</v>
      </c>
      <c r="E44" s="386">
        <v>0</v>
      </c>
      <c r="F44" s="386">
        <v>0</v>
      </c>
      <c r="G44" s="386">
        <v>0</v>
      </c>
      <c r="H44" s="386"/>
      <c r="I44" s="386"/>
      <c r="J44" s="1023"/>
      <c r="K44" s="998"/>
      <c r="L44" s="386">
        <v>0</v>
      </c>
      <c r="M44" s="386">
        <v>0</v>
      </c>
      <c r="N44" s="386">
        <v>0</v>
      </c>
      <c r="O44" s="386"/>
      <c r="P44" s="386"/>
      <c r="Q44" s="386"/>
      <c r="R44" s="998"/>
      <c r="S44" s="386">
        <v>0</v>
      </c>
      <c r="T44" s="386">
        <v>0</v>
      </c>
      <c r="U44" s="386"/>
      <c r="V44" s="386"/>
      <c r="W44" s="386"/>
      <c r="X44" s="386"/>
      <c r="Y44" s="998"/>
    </row>
    <row r="45" spans="1:25" ht="21.75" customHeight="1">
      <c r="A45" s="108"/>
      <c r="B45" s="105"/>
      <c r="C45" s="104" t="s">
        <v>343</v>
      </c>
      <c r="D45" s="664" t="s">
        <v>35</v>
      </c>
      <c r="E45" s="386">
        <v>0</v>
      </c>
      <c r="F45" s="386">
        <v>0</v>
      </c>
      <c r="G45" s="386">
        <v>0</v>
      </c>
      <c r="H45" s="386"/>
      <c r="I45" s="386"/>
      <c r="J45" s="1023"/>
      <c r="K45" s="814"/>
      <c r="L45" s="386">
        <v>0</v>
      </c>
      <c r="M45" s="386">
        <v>0</v>
      </c>
      <c r="N45" s="386">
        <v>0</v>
      </c>
      <c r="O45" s="386"/>
      <c r="P45" s="386"/>
      <c r="Q45" s="386"/>
      <c r="R45" s="814" t="e">
        <f>Q45/P45</f>
        <v>#DIV/0!</v>
      </c>
      <c r="S45" s="386">
        <v>0</v>
      </c>
      <c r="T45" s="386">
        <v>0</v>
      </c>
      <c r="U45" s="386"/>
      <c r="V45" s="386"/>
      <c r="W45" s="386"/>
      <c r="X45" s="386"/>
      <c r="Y45" s="998"/>
    </row>
    <row r="46" spans="1:25" ht="21.75" customHeight="1">
      <c r="A46" s="112"/>
      <c r="B46" s="116"/>
      <c r="C46" s="110" t="s">
        <v>344</v>
      </c>
      <c r="D46" s="664" t="s">
        <v>345</v>
      </c>
      <c r="E46" s="386">
        <v>6000000</v>
      </c>
      <c r="F46" s="386">
        <v>6000000</v>
      </c>
      <c r="G46" s="386">
        <v>6000000</v>
      </c>
      <c r="H46" s="386"/>
      <c r="I46" s="386"/>
      <c r="J46" s="1023"/>
      <c r="K46" s="814"/>
      <c r="L46" s="386">
        <v>6000000</v>
      </c>
      <c r="M46" s="386">
        <v>6000000</v>
      </c>
      <c r="N46" s="386">
        <v>6000000</v>
      </c>
      <c r="O46" s="386"/>
      <c r="P46" s="386"/>
      <c r="Q46" s="386"/>
      <c r="R46" s="814" t="e">
        <f>Q46/P46</f>
        <v>#DIV/0!</v>
      </c>
      <c r="S46" s="386">
        <v>0</v>
      </c>
      <c r="T46" s="386">
        <v>0</v>
      </c>
      <c r="U46" s="386"/>
      <c r="V46" s="386"/>
      <c r="W46" s="386"/>
      <c r="X46" s="386"/>
      <c r="Y46" s="998"/>
    </row>
    <row r="47" spans="1:25" ht="21.75" customHeight="1" thickBot="1">
      <c r="A47" s="392"/>
      <c r="B47" s="105" t="s">
        <v>373</v>
      </c>
      <c r="C47" s="1108" t="s">
        <v>374</v>
      </c>
      <c r="D47" s="1108"/>
      <c r="E47" s="386">
        <v>0</v>
      </c>
      <c r="F47" s="386">
        <v>0</v>
      </c>
      <c r="G47" s="386">
        <v>0</v>
      </c>
      <c r="H47" s="386"/>
      <c r="I47" s="386"/>
      <c r="J47" s="1023"/>
      <c r="K47" s="998"/>
      <c r="L47" s="386">
        <v>0</v>
      </c>
      <c r="M47" s="386">
        <v>0</v>
      </c>
      <c r="N47" s="386">
        <v>0</v>
      </c>
      <c r="O47" s="386"/>
      <c r="P47" s="386"/>
      <c r="Q47" s="386"/>
      <c r="R47" s="998"/>
      <c r="S47" s="386">
        <v>0</v>
      </c>
      <c r="T47" s="386">
        <v>0</v>
      </c>
      <c r="U47" s="386"/>
      <c r="V47" s="386"/>
      <c r="W47" s="386"/>
      <c r="X47" s="386"/>
      <c r="Y47" s="998"/>
    </row>
    <row r="48" spans="1:25" ht="21.75" customHeight="1" hidden="1" thickBot="1">
      <c r="A48" s="392"/>
      <c r="B48" s="116"/>
      <c r="C48" s="1128"/>
      <c r="D48" s="1128"/>
      <c r="E48" s="603"/>
      <c r="F48" s="603"/>
      <c r="G48" s="603"/>
      <c r="H48" s="603"/>
      <c r="I48" s="603"/>
      <c r="J48" s="1025"/>
      <c r="K48" s="1000" t="e">
        <f>I48/H48</f>
        <v>#DIV/0!</v>
      </c>
      <c r="L48" s="603"/>
      <c r="M48" s="603"/>
      <c r="N48" s="603"/>
      <c r="O48" s="603"/>
      <c r="P48" s="603"/>
      <c r="Q48" s="603"/>
      <c r="R48" s="1000" t="e">
        <f>P48/O48</f>
        <v>#DIV/0!</v>
      </c>
      <c r="S48" s="603"/>
      <c r="T48" s="603"/>
      <c r="U48" s="603"/>
      <c r="V48" s="603"/>
      <c r="W48" s="603"/>
      <c r="X48" s="603"/>
      <c r="Y48" s="1000"/>
    </row>
    <row r="49" spans="1:25" ht="21.75" customHeight="1" thickBot="1">
      <c r="A49" s="115" t="s">
        <v>12</v>
      </c>
      <c r="B49" s="1115" t="s">
        <v>79</v>
      </c>
      <c r="C49" s="1115"/>
      <c r="D49" s="1115"/>
      <c r="E49" s="376">
        <f aca="true" t="shared" si="26" ref="E49:J49">E50+E51</f>
        <v>60000</v>
      </c>
      <c r="F49" s="376">
        <f t="shared" si="26"/>
        <v>60000</v>
      </c>
      <c r="G49" s="376">
        <f>G50+G51</f>
        <v>360000</v>
      </c>
      <c r="H49" s="376">
        <f t="shared" si="26"/>
        <v>0</v>
      </c>
      <c r="I49" s="376">
        <f t="shared" si="26"/>
        <v>0</v>
      </c>
      <c r="J49" s="376">
        <f t="shared" si="26"/>
        <v>0</v>
      </c>
      <c r="K49" s="991" t="e">
        <f>J49/I49</f>
        <v>#DIV/0!</v>
      </c>
      <c r="L49" s="376">
        <f aca="true" t="shared" si="27" ref="L49:Q49">L50+L51</f>
        <v>60000</v>
      </c>
      <c r="M49" s="376">
        <f t="shared" si="27"/>
        <v>60000</v>
      </c>
      <c r="N49" s="376">
        <f t="shared" si="27"/>
        <v>360000</v>
      </c>
      <c r="O49" s="376">
        <f t="shared" si="27"/>
        <v>0</v>
      </c>
      <c r="P49" s="376">
        <f t="shared" si="27"/>
        <v>0</v>
      </c>
      <c r="Q49" s="376">
        <f t="shared" si="27"/>
        <v>0</v>
      </c>
      <c r="R49" s="991" t="e">
        <f>Q49/P49</f>
        <v>#DIV/0!</v>
      </c>
      <c r="S49" s="376">
        <f aca="true" t="shared" si="28" ref="S49:X49">S50+S51</f>
        <v>0</v>
      </c>
      <c r="T49" s="376">
        <f>T50+T51</f>
        <v>0</v>
      </c>
      <c r="U49" s="376">
        <f t="shared" si="28"/>
        <v>0</v>
      </c>
      <c r="V49" s="376">
        <f t="shared" si="28"/>
        <v>0</v>
      </c>
      <c r="W49" s="376">
        <f t="shared" si="28"/>
        <v>0</v>
      </c>
      <c r="X49" s="376">
        <f t="shared" si="28"/>
        <v>0</v>
      </c>
      <c r="Y49" s="799"/>
    </row>
    <row r="50" spans="1:25" s="7" customFormat="1" ht="21.75" customHeight="1">
      <c r="A50" s="117"/>
      <c r="B50" s="116" t="s">
        <v>47</v>
      </c>
      <c r="C50" s="1118" t="s">
        <v>358</v>
      </c>
      <c r="D50" s="1118"/>
      <c r="E50" s="385">
        <v>60000</v>
      </c>
      <c r="F50" s="385">
        <v>60000</v>
      </c>
      <c r="G50" s="385">
        <v>60000</v>
      </c>
      <c r="H50" s="385"/>
      <c r="I50" s="385"/>
      <c r="J50" s="1027"/>
      <c r="K50" s="814"/>
      <c r="L50" s="385">
        <v>60000</v>
      </c>
      <c r="M50" s="385">
        <v>60000</v>
      </c>
      <c r="N50" s="385">
        <v>60000</v>
      </c>
      <c r="O50" s="386"/>
      <c r="P50" s="386"/>
      <c r="Q50" s="386"/>
      <c r="R50" s="814" t="e">
        <f>Q50/P50</f>
        <v>#DIV/0!</v>
      </c>
      <c r="S50" s="385">
        <v>0</v>
      </c>
      <c r="T50" s="385">
        <v>0</v>
      </c>
      <c r="U50" s="385"/>
      <c r="V50" s="385"/>
      <c r="W50" s="385"/>
      <c r="X50" s="385"/>
      <c r="Y50" s="1001"/>
    </row>
    <row r="51" spans="1:25" ht="21.75" customHeight="1" thickBot="1">
      <c r="A51" s="108"/>
      <c r="B51" s="104" t="s">
        <v>48</v>
      </c>
      <c r="C51" s="1108" t="s">
        <v>592</v>
      </c>
      <c r="D51" s="1108"/>
      <c r="E51" s="366">
        <v>0</v>
      </c>
      <c r="F51" s="366">
        <v>0</v>
      </c>
      <c r="G51" s="366">
        <v>300000</v>
      </c>
      <c r="H51" s="366"/>
      <c r="I51" s="366"/>
      <c r="J51" s="1028"/>
      <c r="K51" s="971"/>
      <c r="L51" s="366">
        <v>0</v>
      </c>
      <c r="M51" s="366">
        <v>0</v>
      </c>
      <c r="N51" s="366">
        <v>300000</v>
      </c>
      <c r="O51" s="366"/>
      <c r="P51" s="366"/>
      <c r="Q51" s="366"/>
      <c r="R51" s="971"/>
      <c r="S51" s="366">
        <v>0</v>
      </c>
      <c r="T51" s="366">
        <v>0</v>
      </c>
      <c r="U51" s="366"/>
      <c r="V51" s="366"/>
      <c r="W51" s="366"/>
      <c r="X51" s="366"/>
      <c r="Y51" s="971"/>
    </row>
    <row r="52" spans="1:25" ht="21.75" customHeight="1" thickBot="1">
      <c r="A52" s="115" t="s">
        <v>13</v>
      </c>
      <c r="B52" s="1115" t="s">
        <v>346</v>
      </c>
      <c r="C52" s="1115"/>
      <c r="D52" s="1115"/>
      <c r="E52" s="371">
        <f aca="true" t="shared" si="29" ref="E52:J52">SUM(E53:E54)</f>
        <v>0</v>
      </c>
      <c r="F52" s="371">
        <f t="shared" si="29"/>
        <v>0</v>
      </c>
      <c r="G52" s="371">
        <f>SUM(G53:G54)</f>
        <v>4115</v>
      </c>
      <c r="H52" s="371">
        <f t="shared" si="29"/>
        <v>0</v>
      </c>
      <c r="I52" s="371">
        <f t="shared" si="29"/>
        <v>0</v>
      </c>
      <c r="J52" s="371">
        <f t="shared" si="29"/>
        <v>0</v>
      </c>
      <c r="K52" s="991" t="e">
        <f>J52/I52</f>
        <v>#DIV/0!</v>
      </c>
      <c r="L52" s="371">
        <f aca="true" t="shared" si="30" ref="L52:Q52">SUM(L53:L54)</f>
        <v>0</v>
      </c>
      <c r="M52" s="371">
        <f t="shared" si="30"/>
        <v>0</v>
      </c>
      <c r="N52" s="371">
        <f t="shared" si="30"/>
        <v>4115</v>
      </c>
      <c r="O52" s="371">
        <f t="shared" si="30"/>
        <v>0</v>
      </c>
      <c r="P52" s="371">
        <f t="shared" si="30"/>
        <v>0</v>
      </c>
      <c r="Q52" s="371">
        <f t="shared" si="30"/>
        <v>0</v>
      </c>
      <c r="R52" s="991" t="e">
        <f>Q52/P52</f>
        <v>#DIV/0!</v>
      </c>
      <c r="S52" s="371">
        <f aca="true" t="shared" si="31" ref="S52:X52">SUM(S53:S54)</f>
        <v>0</v>
      </c>
      <c r="T52" s="371">
        <f>SUM(T53:T54)</f>
        <v>0</v>
      </c>
      <c r="U52" s="371">
        <f t="shared" si="31"/>
        <v>0</v>
      </c>
      <c r="V52" s="371">
        <f t="shared" si="31"/>
        <v>0</v>
      </c>
      <c r="W52" s="371">
        <f t="shared" si="31"/>
        <v>0</v>
      </c>
      <c r="X52" s="371">
        <f t="shared" si="31"/>
        <v>0</v>
      </c>
      <c r="Y52" s="795"/>
    </row>
    <row r="53" spans="1:25" s="7" customFormat="1" ht="21.75" customHeight="1">
      <c r="A53" s="117"/>
      <c r="B53" s="110" t="s">
        <v>49</v>
      </c>
      <c r="C53" s="1118" t="s">
        <v>348</v>
      </c>
      <c r="D53" s="1118"/>
      <c r="E53" s="372">
        <v>0</v>
      </c>
      <c r="F53" s="372">
        <v>0</v>
      </c>
      <c r="G53" s="372">
        <v>4115</v>
      </c>
      <c r="H53" s="372"/>
      <c r="I53" s="372"/>
      <c r="J53" s="1011"/>
      <c r="K53" s="814"/>
      <c r="L53" s="372">
        <v>0</v>
      </c>
      <c r="M53" s="372">
        <v>0</v>
      </c>
      <c r="N53" s="372">
        <v>4115</v>
      </c>
      <c r="O53" s="386"/>
      <c r="P53" s="386"/>
      <c r="Q53" s="386"/>
      <c r="R53" s="814" t="e">
        <f>Q53/P53</f>
        <v>#DIV/0!</v>
      </c>
      <c r="S53" s="372">
        <v>0</v>
      </c>
      <c r="T53" s="372">
        <v>0</v>
      </c>
      <c r="U53" s="372"/>
      <c r="V53" s="372"/>
      <c r="W53" s="372"/>
      <c r="X53" s="372"/>
      <c r="Y53" s="796"/>
    </row>
    <row r="54" spans="1:25" ht="21.75" customHeight="1" thickBot="1">
      <c r="A54" s="112"/>
      <c r="B54" s="113" t="s">
        <v>347</v>
      </c>
      <c r="C54" s="1124" t="s">
        <v>349</v>
      </c>
      <c r="D54" s="1124"/>
      <c r="E54" s="387">
        <v>0</v>
      </c>
      <c r="F54" s="387">
        <v>0</v>
      </c>
      <c r="G54" s="387">
        <v>0</v>
      </c>
      <c r="H54" s="387">
        <v>0</v>
      </c>
      <c r="I54" s="387">
        <v>0</v>
      </c>
      <c r="J54" s="1016"/>
      <c r="K54" s="973"/>
      <c r="L54" s="387">
        <v>0</v>
      </c>
      <c r="M54" s="387">
        <v>0</v>
      </c>
      <c r="N54" s="387">
        <v>0</v>
      </c>
      <c r="O54" s="387">
        <v>0</v>
      </c>
      <c r="P54" s="387">
        <v>0</v>
      </c>
      <c r="Q54" s="387">
        <v>0</v>
      </c>
      <c r="R54" s="973"/>
      <c r="S54" s="387">
        <v>0</v>
      </c>
      <c r="T54" s="387">
        <v>0</v>
      </c>
      <c r="U54" s="387"/>
      <c r="V54" s="387"/>
      <c r="W54" s="387"/>
      <c r="X54" s="387"/>
      <c r="Y54" s="973"/>
    </row>
    <row r="55" spans="1:25" ht="21.75" customHeight="1" thickBot="1">
      <c r="A55" s="115" t="s">
        <v>14</v>
      </c>
      <c r="B55" s="1132" t="s">
        <v>81</v>
      </c>
      <c r="C55" s="1132"/>
      <c r="D55" s="1132"/>
      <c r="E55" s="371">
        <f aca="true" t="shared" si="32" ref="E55:J55">E7+E21+E41+E49+E52+E32</f>
        <v>433344951</v>
      </c>
      <c r="F55" s="371">
        <f>F7+F21+F41+F49+F52+F32</f>
        <v>433344951</v>
      </c>
      <c r="G55" s="371">
        <f>G7+G21+G41+G49+G52+G32</f>
        <v>436366021</v>
      </c>
      <c r="H55" s="371">
        <f t="shared" si="32"/>
        <v>0</v>
      </c>
      <c r="I55" s="371">
        <f t="shared" si="32"/>
        <v>0</v>
      </c>
      <c r="J55" s="371">
        <f t="shared" si="32"/>
        <v>0</v>
      </c>
      <c r="K55" s="991" t="e">
        <f>J55/I55</f>
        <v>#DIV/0!</v>
      </c>
      <c r="L55" s="371">
        <f aca="true" t="shared" si="33" ref="L55:Q55">L7+L21+L41+L49+L52+L32</f>
        <v>412697158</v>
      </c>
      <c r="M55" s="371">
        <f>M7+M21+M41+M49+M52+M32</f>
        <v>412697158</v>
      </c>
      <c r="N55" s="371">
        <f>N7+N21+N41+N49+N52+N32</f>
        <v>415708228</v>
      </c>
      <c r="O55" s="371">
        <f t="shared" si="33"/>
        <v>0</v>
      </c>
      <c r="P55" s="371">
        <f t="shared" si="33"/>
        <v>0</v>
      </c>
      <c r="Q55" s="371">
        <f t="shared" si="33"/>
        <v>0</v>
      </c>
      <c r="R55" s="991" t="e">
        <f>Q55/P55</f>
        <v>#DIV/0!</v>
      </c>
      <c r="S55" s="371">
        <f aca="true" t="shared" si="34" ref="S55:X55">S7+S21+S41+S49+S52+S32</f>
        <v>20647793</v>
      </c>
      <c r="T55" s="371">
        <f>T7+T21+T41+T49+T52+T32</f>
        <v>20647793</v>
      </c>
      <c r="U55" s="371">
        <f t="shared" si="34"/>
        <v>20657793</v>
      </c>
      <c r="V55" s="371">
        <f t="shared" si="34"/>
        <v>0</v>
      </c>
      <c r="W55" s="371">
        <f t="shared" si="34"/>
        <v>0</v>
      </c>
      <c r="X55" s="371">
        <f t="shared" si="34"/>
        <v>0</v>
      </c>
      <c r="Y55" s="795" t="e">
        <f>W55/V55</f>
        <v>#DIV/0!</v>
      </c>
    </row>
    <row r="56" spans="1:25" ht="24" customHeight="1" thickBot="1">
      <c r="A56" s="111" t="s">
        <v>62</v>
      </c>
      <c r="B56" s="1115" t="s">
        <v>350</v>
      </c>
      <c r="C56" s="1115"/>
      <c r="D56" s="1115"/>
      <c r="E56" s="371">
        <f aca="true" t="shared" si="35" ref="E56:J56">SUM(E57:E59)</f>
        <v>149687964</v>
      </c>
      <c r="F56" s="371">
        <f t="shared" si="35"/>
        <v>149687964</v>
      </c>
      <c r="G56" s="371">
        <f>SUM(G57:G59)</f>
        <v>146002158</v>
      </c>
      <c r="H56" s="371">
        <f t="shared" si="35"/>
        <v>0</v>
      </c>
      <c r="I56" s="371">
        <f t="shared" si="35"/>
        <v>0</v>
      </c>
      <c r="J56" s="371">
        <f t="shared" si="35"/>
        <v>0</v>
      </c>
      <c r="K56" s="991" t="e">
        <f>J56/I56</f>
        <v>#DIV/0!</v>
      </c>
      <c r="L56" s="371">
        <f aca="true" t="shared" si="36" ref="L56:Q56">SUM(L57:L59)</f>
        <v>149687964</v>
      </c>
      <c r="M56" s="371">
        <f t="shared" si="36"/>
        <v>149687964</v>
      </c>
      <c r="N56" s="371">
        <f t="shared" si="36"/>
        <v>146002158</v>
      </c>
      <c r="O56" s="371">
        <f t="shared" si="36"/>
        <v>0</v>
      </c>
      <c r="P56" s="371">
        <f t="shared" si="36"/>
        <v>0</v>
      </c>
      <c r="Q56" s="371">
        <f t="shared" si="36"/>
        <v>0</v>
      </c>
      <c r="R56" s="991" t="e">
        <f>Q56/P56</f>
        <v>#DIV/0!</v>
      </c>
      <c r="S56" s="371">
        <f aca="true" t="shared" si="37" ref="S56:X56">SUM(S57:S59)</f>
        <v>0</v>
      </c>
      <c r="T56" s="371">
        <f>SUM(T57:T59)</f>
        <v>0</v>
      </c>
      <c r="U56" s="371">
        <f t="shared" si="37"/>
        <v>0</v>
      </c>
      <c r="V56" s="371">
        <f t="shared" si="37"/>
        <v>0</v>
      </c>
      <c r="W56" s="371">
        <f t="shared" si="37"/>
        <v>0</v>
      </c>
      <c r="X56" s="371">
        <f t="shared" si="37"/>
        <v>0</v>
      </c>
      <c r="Y56" s="795"/>
    </row>
    <row r="57" spans="1:25" ht="21.75" customHeight="1">
      <c r="A57" s="109"/>
      <c r="B57" s="110" t="s">
        <v>50</v>
      </c>
      <c r="C57" s="1118" t="s">
        <v>351</v>
      </c>
      <c r="D57" s="1118"/>
      <c r="E57" s="372">
        <v>12000000</v>
      </c>
      <c r="F57" s="372">
        <v>12000000</v>
      </c>
      <c r="G57" s="372">
        <f>12000000-3684719</f>
        <v>8315281</v>
      </c>
      <c r="H57" s="372"/>
      <c r="I57" s="372"/>
      <c r="J57" s="1011"/>
      <c r="K57" s="814"/>
      <c r="L57" s="372">
        <v>12000000</v>
      </c>
      <c r="M57" s="372">
        <v>12000000</v>
      </c>
      <c r="N57" s="372">
        <f>12000000-3684719</f>
        <v>8315281</v>
      </c>
      <c r="O57" s="386"/>
      <c r="P57" s="386"/>
      <c r="Q57" s="386"/>
      <c r="R57" s="814" t="e">
        <f>Q57/P57</f>
        <v>#DIV/0!</v>
      </c>
      <c r="S57" s="372">
        <v>0</v>
      </c>
      <c r="T57" s="372">
        <v>0</v>
      </c>
      <c r="U57" s="372"/>
      <c r="V57" s="372"/>
      <c r="W57" s="372"/>
      <c r="X57" s="372"/>
      <c r="Y57" s="796"/>
    </row>
    <row r="58" spans="1:25" ht="21.75" customHeight="1">
      <c r="A58" s="108"/>
      <c r="B58" s="105" t="s">
        <v>51</v>
      </c>
      <c r="C58" s="1118" t="s">
        <v>531</v>
      </c>
      <c r="D58" s="1118"/>
      <c r="E58" s="367"/>
      <c r="F58" s="367"/>
      <c r="G58" s="367"/>
      <c r="H58" s="367"/>
      <c r="I58" s="367"/>
      <c r="J58" s="1013"/>
      <c r="K58" s="971"/>
      <c r="L58" s="367"/>
      <c r="M58" s="367"/>
      <c r="N58" s="367"/>
      <c r="O58" s="367"/>
      <c r="P58" s="367"/>
      <c r="Q58" s="367"/>
      <c r="R58" s="971"/>
      <c r="S58" s="367">
        <v>0</v>
      </c>
      <c r="T58" s="367">
        <v>0</v>
      </c>
      <c r="U58" s="367"/>
      <c r="V58" s="367"/>
      <c r="W58" s="367"/>
      <c r="X58" s="367"/>
      <c r="Y58" s="971"/>
    </row>
    <row r="59" spans="1:25" ht="21.75" customHeight="1" thickBot="1">
      <c r="A59" s="108"/>
      <c r="B59" s="105" t="s">
        <v>80</v>
      </c>
      <c r="C59" s="1118" t="s">
        <v>352</v>
      </c>
      <c r="D59" s="1118"/>
      <c r="E59" s="367">
        <v>137687964</v>
      </c>
      <c r="F59" s="367">
        <v>137687964</v>
      </c>
      <c r="G59" s="367">
        <f>137687964-1087</f>
        <v>137686877</v>
      </c>
      <c r="H59" s="367"/>
      <c r="I59" s="367"/>
      <c r="J59" s="1013"/>
      <c r="K59" s="814"/>
      <c r="L59" s="367">
        <v>137687964</v>
      </c>
      <c r="M59" s="367">
        <v>137687964</v>
      </c>
      <c r="N59" s="367">
        <f>137687964-1087</f>
        <v>137686877</v>
      </c>
      <c r="O59" s="386"/>
      <c r="P59" s="386"/>
      <c r="Q59" s="386"/>
      <c r="R59" s="814" t="e">
        <f>Q59/P59</f>
        <v>#DIV/0!</v>
      </c>
      <c r="S59" s="367">
        <v>0</v>
      </c>
      <c r="T59" s="367">
        <v>0</v>
      </c>
      <c r="U59" s="367"/>
      <c r="V59" s="367"/>
      <c r="W59" s="367"/>
      <c r="X59" s="367"/>
      <c r="Y59" s="971"/>
    </row>
    <row r="60" spans="1:25" ht="35.25" customHeight="1" thickBot="1">
      <c r="A60" s="115" t="s">
        <v>63</v>
      </c>
      <c r="B60" s="1131" t="s">
        <v>82</v>
      </c>
      <c r="C60" s="1131"/>
      <c r="D60" s="1131"/>
      <c r="E60" s="373">
        <f aca="true" t="shared" si="38" ref="E60:J60">E55+E56</f>
        <v>583032915</v>
      </c>
      <c r="F60" s="373">
        <f t="shared" si="38"/>
        <v>583032915</v>
      </c>
      <c r="G60" s="373">
        <f>G55+G56</f>
        <v>582368179</v>
      </c>
      <c r="H60" s="373">
        <f t="shared" si="38"/>
        <v>0</v>
      </c>
      <c r="I60" s="373">
        <f t="shared" si="38"/>
        <v>0</v>
      </c>
      <c r="J60" s="373">
        <f t="shared" si="38"/>
        <v>0</v>
      </c>
      <c r="K60" s="991" t="e">
        <f>J60/I60</f>
        <v>#DIV/0!</v>
      </c>
      <c r="L60" s="373">
        <f aca="true" t="shared" si="39" ref="L60:Q60">L55+L56</f>
        <v>562385122</v>
      </c>
      <c r="M60" s="373">
        <f t="shared" si="39"/>
        <v>562385122</v>
      </c>
      <c r="N60" s="373">
        <f t="shared" si="39"/>
        <v>561710386</v>
      </c>
      <c r="O60" s="373">
        <f t="shared" si="39"/>
        <v>0</v>
      </c>
      <c r="P60" s="373">
        <f t="shared" si="39"/>
        <v>0</v>
      </c>
      <c r="Q60" s="373">
        <f t="shared" si="39"/>
        <v>0</v>
      </c>
      <c r="R60" s="991" t="e">
        <f>Q60/P60</f>
        <v>#DIV/0!</v>
      </c>
      <c r="S60" s="373">
        <f aca="true" t="shared" si="40" ref="S60:X60">S55+S56</f>
        <v>20647793</v>
      </c>
      <c r="T60" s="373">
        <f>T55+T56</f>
        <v>20647793</v>
      </c>
      <c r="U60" s="373">
        <f t="shared" si="40"/>
        <v>20657793</v>
      </c>
      <c r="V60" s="373">
        <f t="shared" si="40"/>
        <v>0</v>
      </c>
      <c r="W60" s="373">
        <f t="shared" si="40"/>
        <v>0</v>
      </c>
      <c r="X60" s="373">
        <f t="shared" si="40"/>
        <v>0</v>
      </c>
      <c r="Y60" s="797" t="e">
        <f>W60/V60</f>
        <v>#DIV/0!</v>
      </c>
    </row>
    <row r="61" spans="1:25" ht="21.75" customHeight="1" hidden="1" thickBot="1">
      <c r="A61" s="1126" t="s">
        <v>254</v>
      </c>
      <c r="B61" s="1127"/>
      <c r="C61" s="1127"/>
      <c r="D61" s="1127"/>
      <c r="E61" s="605"/>
      <c r="F61" s="605"/>
      <c r="G61" s="605"/>
      <c r="H61" s="605"/>
      <c r="I61" s="605"/>
      <c r="J61" s="605"/>
      <c r="K61" s="991" t="e">
        <f>J61/I61</f>
        <v>#DIV/0!</v>
      </c>
      <c r="L61" s="605"/>
      <c r="M61" s="605"/>
      <c r="N61" s="605"/>
      <c r="O61" s="605"/>
      <c r="P61" s="605"/>
      <c r="Q61" s="605"/>
      <c r="R61" s="991" t="e">
        <f>Q61/P61</f>
        <v>#DIV/0!</v>
      </c>
      <c r="S61" s="605"/>
      <c r="T61" s="605"/>
      <c r="U61" s="605"/>
      <c r="V61" s="605"/>
      <c r="W61" s="605"/>
      <c r="X61" s="605"/>
      <c r="Y61" s="607" t="e">
        <f>W61/V61</f>
        <v>#DIV/0!</v>
      </c>
    </row>
    <row r="62" spans="1:25" ht="21.75" customHeight="1" thickBot="1">
      <c r="A62" s="1130" t="s">
        <v>7</v>
      </c>
      <c r="B62" s="1131"/>
      <c r="C62" s="1131"/>
      <c r="D62" s="1131"/>
      <c r="E62" s="425">
        <f aca="true" t="shared" si="41" ref="E62:J62">E60+E61</f>
        <v>583032915</v>
      </c>
      <c r="F62" s="425">
        <f>F60+F61</f>
        <v>583032915</v>
      </c>
      <c r="G62" s="425">
        <f>G60+G61</f>
        <v>582368179</v>
      </c>
      <c r="H62" s="425">
        <f t="shared" si="41"/>
        <v>0</v>
      </c>
      <c r="I62" s="425">
        <f t="shared" si="41"/>
        <v>0</v>
      </c>
      <c r="J62" s="425">
        <f t="shared" si="41"/>
        <v>0</v>
      </c>
      <c r="K62" s="991" t="e">
        <f>J62/I62</f>
        <v>#DIV/0!</v>
      </c>
      <c r="L62" s="425">
        <f aca="true" t="shared" si="42" ref="L62:Q62">L60+L61</f>
        <v>562385122</v>
      </c>
      <c r="M62" s="425">
        <f>M60+M61</f>
        <v>562385122</v>
      </c>
      <c r="N62" s="425">
        <f>N60+N61</f>
        <v>561710386</v>
      </c>
      <c r="O62" s="425">
        <f t="shared" si="42"/>
        <v>0</v>
      </c>
      <c r="P62" s="425">
        <f t="shared" si="42"/>
        <v>0</v>
      </c>
      <c r="Q62" s="425">
        <f t="shared" si="42"/>
        <v>0</v>
      </c>
      <c r="R62" s="991" t="e">
        <f>Q62/P62</f>
        <v>#DIV/0!</v>
      </c>
      <c r="S62" s="425">
        <f aca="true" t="shared" si="43" ref="S62:X62">S60+S61</f>
        <v>20647793</v>
      </c>
      <c r="T62" s="425">
        <f>T60+T61</f>
        <v>20647793</v>
      </c>
      <c r="U62" s="425">
        <f t="shared" si="43"/>
        <v>20657793</v>
      </c>
      <c r="V62" s="425">
        <f t="shared" si="43"/>
        <v>0</v>
      </c>
      <c r="W62" s="425">
        <f t="shared" si="43"/>
        <v>0</v>
      </c>
      <c r="X62" s="425">
        <f t="shared" si="43"/>
        <v>0</v>
      </c>
      <c r="Y62" s="427" t="e">
        <f>W62/V62</f>
        <v>#DIV/0!</v>
      </c>
    </row>
    <row r="63" spans="1:25" ht="21.75" customHeight="1">
      <c r="A63" s="608"/>
      <c r="B63" s="609"/>
      <c r="C63" s="609"/>
      <c r="D63" s="609"/>
      <c r="E63" s="610"/>
      <c r="F63" s="610"/>
      <c r="G63" s="610"/>
      <c r="H63" s="610"/>
      <c r="I63" s="610"/>
      <c r="J63" s="610"/>
      <c r="K63" s="610"/>
      <c r="L63" s="610"/>
      <c r="M63" s="610"/>
      <c r="N63" s="610"/>
      <c r="O63" s="610"/>
      <c r="P63" s="610"/>
      <c r="Q63" s="610"/>
      <c r="R63" s="610"/>
      <c r="S63" s="610"/>
      <c r="T63" s="610"/>
      <c r="U63" s="610"/>
      <c r="V63" s="610"/>
      <c r="W63" s="610"/>
      <c r="X63" s="610"/>
      <c r="Y63" s="610"/>
    </row>
    <row r="64" spans="1:22" ht="21.75" customHeight="1">
      <c r="A64" s="94"/>
      <c r="B64" s="141"/>
      <c r="C64" s="141"/>
      <c r="D64" s="141"/>
      <c r="E64" s="340"/>
      <c r="F64" s="340"/>
      <c r="G64" s="340"/>
      <c r="H64" s="340"/>
      <c r="I64" s="339"/>
      <c r="J64" s="339"/>
      <c r="K64" s="340"/>
      <c r="L64" s="340"/>
      <c r="T64" s="340"/>
      <c r="U64" s="340"/>
      <c r="V64" s="340"/>
    </row>
    <row r="65" spans="1:22" ht="35.25" customHeight="1">
      <c r="A65" s="94"/>
      <c r="B65" s="141"/>
      <c r="C65" s="141"/>
      <c r="D65" s="141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P65" s="340"/>
      <c r="Q65" s="340"/>
      <c r="R65" s="340"/>
      <c r="T65" s="340"/>
      <c r="U65" s="340"/>
      <c r="V65" s="340"/>
    </row>
    <row r="66" spans="1:22" ht="35.25" customHeight="1">
      <c r="A66" s="94"/>
      <c r="B66" s="141"/>
      <c r="C66" s="141"/>
      <c r="D66" s="141"/>
      <c r="E66" s="340"/>
      <c r="F66" s="340"/>
      <c r="G66" s="340"/>
      <c r="H66" s="340"/>
      <c r="I66" s="340"/>
      <c r="J66" s="340"/>
      <c r="K66" s="340"/>
      <c r="L66" s="340"/>
      <c r="M66" s="340"/>
      <c r="N66" s="340"/>
      <c r="O66" s="340"/>
      <c r="P66" s="340"/>
      <c r="Q66" s="340"/>
      <c r="R66" s="340"/>
      <c r="T66" s="340"/>
      <c r="U66" s="340"/>
      <c r="V66" s="340"/>
    </row>
    <row r="67" spans="5:22" ht="12.75"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T67" s="340"/>
      <c r="U67" s="340"/>
      <c r="V67" s="340"/>
    </row>
    <row r="68" spans="5:22" ht="12.75">
      <c r="E68" s="340"/>
      <c r="F68" s="340"/>
      <c r="G68" s="340"/>
      <c r="H68" s="340"/>
      <c r="I68" s="340"/>
      <c r="J68" s="340"/>
      <c r="K68" s="340"/>
      <c r="L68" s="340"/>
      <c r="M68" s="340"/>
      <c r="N68" s="340"/>
      <c r="O68" s="340"/>
      <c r="P68" s="340"/>
      <c r="Q68" s="340"/>
      <c r="R68" s="340"/>
      <c r="T68" s="340"/>
      <c r="U68" s="340"/>
      <c r="V68" s="340"/>
    </row>
    <row r="69" spans="5:22" ht="12.75"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T69" s="340"/>
      <c r="U69" s="340"/>
      <c r="V69" s="340"/>
    </row>
    <row r="70" spans="4:22" ht="12.75">
      <c r="D70" s="102"/>
      <c r="E70" s="340"/>
      <c r="F70" s="340"/>
      <c r="G70" s="340"/>
      <c r="H70" s="340"/>
      <c r="I70" s="340"/>
      <c r="J70" s="340"/>
      <c r="K70" s="340"/>
      <c r="L70" s="340"/>
      <c r="M70" s="340"/>
      <c r="N70" s="340"/>
      <c r="O70" s="340"/>
      <c r="P70" s="340"/>
      <c r="Q70" s="340"/>
      <c r="R70" s="340"/>
      <c r="T70" s="340"/>
      <c r="U70" s="340"/>
      <c r="V70" s="340"/>
    </row>
    <row r="71" spans="4:22" ht="48.75" customHeight="1">
      <c r="D71" s="102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T71" s="340"/>
      <c r="U71" s="340"/>
      <c r="V71" s="340"/>
    </row>
    <row r="72" spans="4:22" ht="46.5" customHeight="1">
      <c r="D72" s="102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T72" s="340"/>
      <c r="U72" s="340"/>
      <c r="V72" s="340"/>
    </row>
    <row r="73" spans="5:22" ht="41.25" customHeight="1"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T73" s="340"/>
      <c r="U73" s="340"/>
      <c r="V73" s="340"/>
    </row>
    <row r="74" spans="5:22" ht="12.75"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T74" s="340"/>
      <c r="U74" s="340"/>
      <c r="V74" s="340"/>
    </row>
    <row r="75" spans="5:22" ht="12.75">
      <c r="E75" s="340"/>
      <c r="F75" s="340"/>
      <c r="G75" s="340"/>
      <c r="H75" s="340"/>
      <c r="I75" s="340"/>
      <c r="J75" s="340"/>
      <c r="K75" s="340"/>
      <c r="L75" s="340"/>
      <c r="M75" s="340"/>
      <c r="N75" s="340"/>
      <c r="O75" s="340"/>
      <c r="P75" s="340"/>
      <c r="Q75" s="340"/>
      <c r="R75" s="340"/>
      <c r="T75" s="340"/>
      <c r="U75" s="340"/>
      <c r="V75" s="340"/>
    </row>
    <row r="76" spans="5:22" ht="12.75">
      <c r="E76" s="340"/>
      <c r="F76" s="340"/>
      <c r="G76" s="340"/>
      <c r="H76" s="340"/>
      <c r="I76" s="340"/>
      <c r="J76" s="340"/>
      <c r="K76" s="340"/>
      <c r="L76" s="340"/>
      <c r="M76" s="340"/>
      <c r="N76" s="340"/>
      <c r="O76" s="340"/>
      <c r="P76" s="340"/>
      <c r="Q76" s="340"/>
      <c r="R76" s="340"/>
      <c r="T76" s="340"/>
      <c r="U76" s="340"/>
      <c r="V76" s="340"/>
    </row>
    <row r="77" spans="5:22" ht="12.75">
      <c r="E77" s="340"/>
      <c r="F77" s="340"/>
      <c r="G77" s="340"/>
      <c r="H77" s="340"/>
      <c r="I77" s="340"/>
      <c r="J77" s="340"/>
      <c r="K77" s="340"/>
      <c r="L77" s="340"/>
      <c r="M77" s="340"/>
      <c r="N77" s="340"/>
      <c r="O77" s="340"/>
      <c r="P77" s="340"/>
      <c r="Q77" s="340"/>
      <c r="R77" s="340"/>
      <c r="T77" s="340"/>
      <c r="U77" s="340"/>
      <c r="V77" s="340"/>
    </row>
    <row r="78" spans="5:22" ht="12.75">
      <c r="E78" s="340"/>
      <c r="F78" s="340"/>
      <c r="G78" s="340"/>
      <c r="H78" s="340"/>
      <c r="I78" s="340"/>
      <c r="J78" s="340"/>
      <c r="K78" s="340"/>
      <c r="L78" s="340"/>
      <c r="M78" s="340"/>
      <c r="N78" s="340"/>
      <c r="O78" s="340"/>
      <c r="P78" s="340"/>
      <c r="Q78" s="340"/>
      <c r="R78" s="340"/>
      <c r="T78" s="340"/>
      <c r="U78" s="340"/>
      <c r="V78" s="340"/>
    </row>
    <row r="79" spans="5:22" ht="12.75">
      <c r="E79" s="340"/>
      <c r="F79" s="340"/>
      <c r="G79" s="340"/>
      <c r="H79" s="340"/>
      <c r="I79" s="340"/>
      <c r="J79" s="340"/>
      <c r="K79" s="340"/>
      <c r="L79" s="340"/>
      <c r="M79" s="340"/>
      <c r="N79" s="340"/>
      <c r="O79" s="340"/>
      <c r="P79" s="340"/>
      <c r="Q79" s="340"/>
      <c r="R79" s="340"/>
      <c r="T79" s="340"/>
      <c r="U79" s="340"/>
      <c r="V79" s="340"/>
    </row>
    <row r="80" spans="5:22" ht="12.75">
      <c r="E80" s="340"/>
      <c r="F80" s="340"/>
      <c r="G80" s="340"/>
      <c r="H80" s="340"/>
      <c r="I80" s="340"/>
      <c r="J80" s="340"/>
      <c r="K80" s="340"/>
      <c r="L80" s="340"/>
      <c r="M80" s="340"/>
      <c r="N80" s="340"/>
      <c r="O80" s="340"/>
      <c r="P80" s="340"/>
      <c r="Q80" s="340"/>
      <c r="R80" s="340"/>
      <c r="T80" s="340"/>
      <c r="U80" s="340"/>
      <c r="V80" s="340"/>
    </row>
    <row r="81" spans="5:22" ht="12.75">
      <c r="E81" s="340"/>
      <c r="F81" s="340"/>
      <c r="G81" s="340"/>
      <c r="H81" s="340"/>
      <c r="I81" s="340"/>
      <c r="J81" s="340"/>
      <c r="K81" s="340"/>
      <c r="L81" s="340"/>
      <c r="M81" s="340"/>
      <c r="N81" s="340"/>
      <c r="O81" s="340"/>
      <c r="P81" s="340"/>
      <c r="Q81" s="340"/>
      <c r="R81" s="340"/>
      <c r="T81" s="340"/>
      <c r="U81" s="340"/>
      <c r="V81" s="340"/>
    </row>
    <row r="82" spans="5:22" ht="12.75">
      <c r="E82" s="340"/>
      <c r="F82" s="340"/>
      <c r="G82" s="340"/>
      <c r="H82" s="340"/>
      <c r="I82" s="340"/>
      <c r="J82" s="340"/>
      <c r="K82" s="340"/>
      <c r="L82" s="340"/>
      <c r="M82" s="340"/>
      <c r="N82" s="340"/>
      <c r="O82" s="340"/>
      <c r="P82" s="340"/>
      <c r="Q82" s="340"/>
      <c r="R82" s="340"/>
      <c r="T82" s="340"/>
      <c r="U82" s="340"/>
      <c r="V82" s="340"/>
    </row>
    <row r="83" spans="5:22" ht="12.75">
      <c r="E83" s="340"/>
      <c r="F83" s="340"/>
      <c r="G83" s="340"/>
      <c r="H83" s="340"/>
      <c r="I83" s="340"/>
      <c r="J83" s="340"/>
      <c r="K83" s="340"/>
      <c r="L83" s="340"/>
      <c r="M83" s="340"/>
      <c r="N83" s="340"/>
      <c r="O83" s="340"/>
      <c r="P83" s="340"/>
      <c r="Q83" s="340"/>
      <c r="R83" s="340"/>
      <c r="T83" s="340"/>
      <c r="U83" s="340"/>
      <c r="V83" s="340"/>
    </row>
    <row r="84" spans="5:22" ht="12.75">
      <c r="E84" s="340"/>
      <c r="F84" s="340"/>
      <c r="G84" s="340"/>
      <c r="H84" s="340"/>
      <c r="I84" s="340"/>
      <c r="J84" s="340"/>
      <c r="K84" s="340"/>
      <c r="L84" s="340"/>
      <c r="M84" s="340"/>
      <c r="N84" s="340"/>
      <c r="O84" s="340"/>
      <c r="P84" s="340"/>
      <c r="Q84" s="340"/>
      <c r="R84" s="340"/>
      <c r="T84" s="340"/>
      <c r="U84" s="340"/>
      <c r="V84" s="340"/>
    </row>
    <row r="85" spans="5:22" ht="12.75"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T85" s="340"/>
      <c r="U85" s="340"/>
      <c r="V85" s="340"/>
    </row>
    <row r="86" spans="5:22" ht="12.75">
      <c r="E86" s="340"/>
      <c r="F86" s="340"/>
      <c r="G86" s="340"/>
      <c r="H86" s="340"/>
      <c r="I86" s="340"/>
      <c r="J86" s="340"/>
      <c r="K86" s="340"/>
      <c r="L86" s="340"/>
      <c r="M86" s="340"/>
      <c r="N86" s="340"/>
      <c r="O86" s="340"/>
      <c r="P86" s="340"/>
      <c r="Q86" s="340"/>
      <c r="R86" s="340"/>
      <c r="T86" s="340"/>
      <c r="U86" s="340"/>
      <c r="V86" s="340"/>
    </row>
    <row r="87" spans="5:22" ht="12.75">
      <c r="E87" s="340"/>
      <c r="F87" s="340"/>
      <c r="G87" s="340"/>
      <c r="H87" s="340"/>
      <c r="I87" s="340"/>
      <c r="J87" s="340"/>
      <c r="K87" s="340"/>
      <c r="L87" s="340"/>
      <c r="M87" s="340"/>
      <c r="N87" s="340"/>
      <c r="O87" s="340"/>
      <c r="P87" s="340"/>
      <c r="Q87" s="340"/>
      <c r="R87" s="340"/>
      <c r="T87" s="340"/>
      <c r="U87" s="340"/>
      <c r="V87" s="340"/>
    </row>
    <row r="88" spans="5:22" ht="12.75">
      <c r="E88" s="340"/>
      <c r="F88" s="340"/>
      <c r="G88" s="340"/>
      <c r="H88" s="340"/>
      <c r="I88" s="340"/>
      <c r="J88" s="340"/>
      <c r="K88" s="340"/>
      <c r="L88" s="340"/>
      <c r="M88" s="340"/>
      <c r="N88" s="340"/>
      <c r="O88" s="340"/>
      <c r="P88" s="340"/>
      <c r="Q88" s="340"/>
      <c r="R88" s="340"/>
      <c r="T88" s="340"/>
      <c r="U88" s="340"/>
      <c r="V88" s="340"/>
    </row>
    <row r="89" spans="5:22" ht="12.75">
      <c r="E89" s="340"/>
      <c r="F89" s="340"/>
      <c r="G89" s="340"/>
      <c r="H89" s="340"/>
      <c r="I89" s="340"/>
      <c r="J89" s="340"/>
      <c r="K89" s="340"/>
      <c r="L89" s="340"/>
      <c r="M89" s="340"/>
      <c r="N89" s="340"/>
      <c r="O89" s="340"/>
      <c r="P89" s="340"/>
      <c r="Q89" s="340"/>
      <c r="R89" s="340"/>
      <c r="T89" s="340"/>
      <c r="U89" s="340"/>
      <c r="V89" s="340"/>
    </row>
    <row r="90" spans="5:22" ht="12.75"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T90" s="340"/>
      <c r="U90" s="340"/>
      <c r="V90" s="340"/>
    </row>
    <row r="91" spans="5:22" ht="12.75">
      <c r="E91" s="340"/>
      <c r="F91" s="340"/>
      <c r="G91" s="340"/>
      <c r="H91" s="340"/>
      <c r="I91" s="340"/>
      <c r="J91" s="340"/>
      <c r="K91" s="340"/>
      <c r="L91" s="340"/>
      <c r="M91" s="340"/>
      <c r="N91" s="340"/>
      <c r="O91" s="340"/>
      <c r="P91" s="340"/>
      <c r="Q91" s="340"/>
      <c r="R91" s="340"/>
      <c r="T91" s="340"/>
      <c r="U91" s="340"/>
      <c r="V91" s="340"/>
    </row>
    <row r="92" spans="5:22" ht="12.75">
      <c r="E92" s="340"/>
      <c r="F92" s="340"/>
      <c r="G92" s="340"/>
      <c r="H92" s="340"/>
      <c r="I92" s="340"/>
      <c r="J92" s="340"/>
      <c r="K92" s="340"/>
      <c r="L92" s="340"/>
      <c r="M92" s="340"/>
      <c r="N92" s="340"/>
      <c r="O92" s="340"/>
      <c r="P92" s="340"/>
      <c r="Q92" s="340"/>
      <c r="R92" s="340"/>
      <c r="T92" s="340"/>
      <c r="U92" s="340"/>
      <c r="V92" s="340"/>
    </row>
    <row r="93" spans="5:22" ht="12.75">
      <c r="E93" s="340"/>
      <c r="F93" s="340"/>
      <c r="G93" s="340"/>
      <c r="H93" s="340"/>
      <c r="I93" s="340"/>
      <c r="J93" s="340"/>
      <c r="K93" s="340"/>
      <c r="L93" s="340"/>
      <c r="M93" s="340"/>
      <c r="N93" s="340"/>
      <c r="O93" s="340"/>
      <c r="P93" s="340"/>
      <c r="Q93" s="340"/>
      <c r="R93" s="340"/>
      <c r="T93" s="340"/>
      <c r="U93" s="340"/>
      <c r="V93" s="340"/>
    </row>
    <row r="94" spans="5:22" ht="12.75">
      <c r="E94" s="340"/>
      <c r="F94" s="340"/>
      <c r="G94" s="340"/>
      <c r="H94" s="340"/>
      <c r="I94" s="340"/>
      <c r="J94" s="340"/>
      <c r="K94" s="340"/>
      <c r="L94" s="340"/>
      <c r="M94" s="340"/>
      <c r="N94" s="340"/>
      <c r="O94" s="340"/>
      <c r="P94" s="340"/>
      <c r="Q94" s="340"/>
      <c r="R94" s="340"/>
      <c r="T94" s="340"/>
      <c r="U94" s="340"/>
      <c r="V94" s="340"/>
    </row>
    <row r="95" spans="5:22" ht="12.75">
      <c r="E95" s="340"/>
      <c r="F95" s="340"/>
      <c r="G95" s="340"/>
      <c r="H95" s="340"/>
      <c r="I95" s="340"/>
      <c r="J95" s="340"/>
      <c r="K95" s="340"/>
      <c r="L95" s="340"/>
      <c r="M95" s="340"/>
      <c r="N95" s="340"/>
      <c r="O95" s="340"/>
      <c r="P95" s="340"/>
      <c r="Q95" s="340"/>
      <c r="R95" s="340"/>
      <c r="T95" s="340"/>
      <c r="U95" s="340"/>
      <c r="V95" s="340"/>
    </row>
    <row r="96" spans="5:22" ht="12.75">
      <c r="E96" s="340"/>
      <c r="F96" s="340"/>
      <c r="G96" s="340"/>
      <c r="H96" s="340"/>
      <c r="I96" s="340"/>
      <c r="J96" s="340"/>
      <c r="K96" s="340"/>
      <c r="L96" s="340"/>
      <c r="M96" s="340"/>
      <c r="N96" s="340"/>
      <c r="O96" s="340"/>
      <c r="P96" s="340"/>
      <c r="Q96" s="340"/>
      <c r="R96" s="340"/>
      <c r="T96" s="340"/>
      <c r="U96" s="340"/>
      <c r="V96" s="340"/>
    </row>
    <row r="97" spans="5:22" ht="12.75">
      <c r="E97" s="340"/>
      <c r="F97" s="340"/>
      <c r="G97" s="340"/>
      <c r="H97" s="340"/>
      <c r="I97" s="340"/>
      <c r="J97" s="340"/>
      <c r="K97" s="340"/>
      <c r="L97" s="340"/>
      <c r="M97" s="340"/>
      <c r="N97" s="340"/>
      <c r="O97" s="340"/>
      <c r="P97" s="340"/>
      <c r="Q97" s="340"/>
      <c r="R97" s="340"/>
      <c r="T97" s="340"/>
      <c r="U97" s="340"/>
      <c r="V97" s="340"/>
    </row>
    <row r="98" spans="5:22" ht="12.75">
      <c r="E98" s="340"/>
      <c r="F98" s="340"/>
      <c r="G98" s="340"/>
      <c r="H98" s="340"/>
      <c r="I98" s="340"/>
      <c r="J98" s="340"/>
      <c r="K98" s="340"/>
      <c r="L98" s="340"/>
      <c r="M98" s="340"/>
      <c r="N98" s="340"/>
      <c r="O98" s="340"/>
      <c r="P98" s="340"/>
      <c r="Q98" s="340"/>
      <c r="R98" s="340"/>
      <c r="T98" s="340"/>
      <c r="U98" s="340"/>
      <c r="V98" s="340"/>
    </row>
    <row r="99" spans="5:22" ht="12.75">
      <c r="E99" s="340"/>
      <c r="F99" s="340"/>
      <c r="G99" s="340"/>
      <c r="H99" s="340"/>
      <c r="I99" s="340"/>
      <c r="J99" s="340"/>
      <c r="K99" s="340"/>
      <c r="L99" s="340"/>
      <c r="M99" s="340"/>
      <c r="N99" s="340"/>
      <c r="O99" s="340"/>
      <c r="P99" s="340"/>
      <c r="Q99" s="340"/>
      <c r="R99" s="340"/>
      <c r="T99" s="340"/>
      <c r="U99" s="340"/>
      <c r="V99" s="340"/>
    </row>
    <row r="100" spans="5:22" ht="12.75">
      <c r="E100" s="340"/>
      <c r="F100" s="340"/>
      <c r="G100" s="340"/>
      <c r="H100" s="340"/>
      <c r="I100" s="340"/>
      <c r="J100" s="340"/>
      <c r="K100" s="340"/>
      <c r="L100" s="340"/>
      <c r="M100" s="340"/>
      <c r="N100" s="340"/>
      <c r="O100" s="340"/>
      <c r="P100" s="340"/>
      <c r="Q100" s="340"/>
      <c r="R100" s="340"/>
      <c r="T100" s="340"/>
      <c r="U100" s="340"/>
      <c r="V100" s="340"/>
    </row>
    <row r="101" spans="5:22" ht="12.75">
      <c r="E101" s="340"/>
      <c r="F101" s="340"/>
      <c r="G101" s="340"/>
      <c r="H101" s="340"/>
      <c r="I101" s="340"/>
      <c r="J101" s="340"/>
      <c r="K101" s="340"/>
      <c r="L101" s="340"/>
      <c r="M101" s="340"/>
      <c r="N101" s="340"/>
      <c r="O101" s="340"/>
      <c r="P101" s="340"/>
      <c r="Q101" s="340"/>
      <c r="R101" s="340"/>
      <c r="T101" s="340"/>
      <c r="U101" s="340"/>
      <c r="V101" s="340"/>
    </row>
    <row r="102" spans="5:22" ht="12.75">
      <c r="E102" s="340"/>
      <c r="F102" s="340"/>
      <c r="G102" s="340"/>
      <c r="H102" s="340"/>
      <c r="I102" s="340"/>
      <c r="J102" s="340"/>
      <c r="K102" s="340"/>
      <c r="L102" s="340"/>
      <c r="M102" s="340"/>
      <c r="N102" s="340"/>
      <c r="O102" s="340"/>
      <c r="P102" s="340"/>
      <c r="Q102" s="340"/>
      <c r="R102" s="340"/>
      <c r="T102" s="340"/>
      <c r="U102" s="340"/>
      <c r="V102" s="340"/>
    </row>
    <row r="103" spans="5:22" ht="12.75">
      <c r="E103" s="340"/>
      <c r="F103" s="340"/>
      <c r="G103" s="340"/>
      <c r="H103" s="340"/>
      <c r="I103" s="340"/>
      <c r="J103" s="340"/>
      <c r="K103" s="340"/>
      <c r="L103" s="340"/>
      <c r="M103" s="340"/>
      <c r="N103" s="340"/>
      <c r="O103" s="340"/>
      <c r="P103" s="340"/>
      <c r="Q103" s="340"/>
      <c r="R103" s="340"/>
      <c r="T103" s="340"/>
      <c r="U103" s="340"/>
      <c r="V103" s="340"/>
    </row>
    <row r="104" spans="5:22" ht="12.75">
      <c r="E104" s="340"/>
      <c r="F104" s="340"/>
      <c r="G104" s="340"/>
      <c r="H104" s="340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T104" s="340"/>
      <c r="U104" s="340"/>
      <c r="V104" s="340"/>
    </row>
    <row r="105" spans="5:22" ht="12.75">
      <c r="E105" s="340"/>
      <c r="F105" s="340"/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  <c r="Q105" s="340"/>
      <c r="R105" s="340"/>
      <c r="T105" s="340"/>
      <c r="U105" s="340"/>
      <c r="V105" s="340"/>
    </row>
    <row r="106" spans="5:22" ht="12.75">
      <c r="E106" s="340"/>
      <c r="F106" s="340"/>
      <c r="G106" s="340"/>
      <c r="H106" s="340"/>
      <c r="I106" s="340"/>
      <c r="J106" s="340"/>
      <c r="K106" s="340"/>
      <c r="L106" s="340"/>
      <c r="M106" s="340"/>
      <c r="N106" s="340"/>
      <c r="O106" s="340"/>
      <c r="P106" s="340"/>
      <c r="Q106" s="340"/>
      <c r="R106" s="340"/>
      <c r="T106" s="340"/>
      <c r="U106" s="340"/>
      <c r="V106" s="340"/>
    </row>
    <row r="107" spans="5:22" ht="12.75"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40"/>
      <c r="R107" s="340"/>
      <c r="T107" s="340"/>
      <c r="U107" s="340"/>
      <c r="V107" s="340"/>
    </row>
    <row r="108" spans="5:22" ht="12.75">
      <c r="E108" s="340"/>
      <c r="F108" s="340"/>
      <c r="G108" s="340"/>
      <c r="H108" s="340"/>
      <c r="I108" s="340"/>
      <c r="J108" s="340"/>
      <c r="K108" s="340"/>
      <c r="L108" s="340"/>
      <c r="M108" s="340"/>
      <c r="N108" s="340"/>
      <c r="O108" s="340"/>
      <c r="P108" s="340"/>
      <c r="Q108" s="340"/>
      <c r="R108" s="340"/>
      <c r="T108" s="340"/>
      <c r="U108" s="340"/>
      <c r="V108" s="340"/>
    </row>
    <row r="109" spans="5:22" ht="12.75">
      <c r="E109" s="340"/>
      <c r="F109" s="340"/>
      <c r="G109" s="340"/>
      <c r="H109" s="340"/>
      <c r="I109" s="340"/>
      <c r="J109" s="340"/>
      <c r="K109" s="340"/>
      <c r="L109" s="340"/>
      <c r="M109" s="340"/>
      <c r="N109" s="340"/>
      <c r="O109" s="340"/>
      <c r="P109" s="340"/>
      <c r="Q109" s="340"/>
      <c r="R109" s="340"/>
      <c r="T109" s="340"/>
      <c r="U109" s="340"/>
      <c r="V109" s="340"/>
    </row>
    <row r="110" spans="5:22" ht="12.75">
      <c r="E110" s="340"/>
      <c r="F110" s="340"/>
      <c r="G110" s="340"/>
      <c r="H110" s="340"/>
      <c r="I110" s="340"/>
      <c r="J110" s="340"/>
      <c r="K110" s="340"/>
      <c r="L110" s="340"/>
      <c r="M110" s="340"/>
      <c r="N110" s="340"/>
      <c r="O110" s="340"/>
      <c r="P110" s="340"/>
      <c r="Q110" s="340"/>
      <c r="R110" s="340"/>
      <c r="T110" s="340"/>
      <c r="U110" s="340"/>
      <c r="V110" s="340"/>
    </row>
    <row r="111" spans="5:22" ht="12.75">
      <c r="E111" s="340"/>
      <c r="F111" s="340"/>
      <c r="G111" s="340"/>
      <c r="H111" s="340"/>
      <c r="I111" s="340"/>
      <c r="J111" s="340"/>
      <c r="K111" s="340"/>
      <c r="L111" s="340"/>
      <c r="M111" s="340"/>
      <c r="N111" s="340"/>
      <c r="O111" s="340"/>
      <c r="P111" s="340"/>
      <c r="Q111" s="340"/>
      <c r="R111" s="340"/>
      <c r="T111" s="340"/>
      <c r="U111" s="340"/>
      <c r="V111" s="340"/>
    </row>
  </sheetData>
  <sheetProtection/>
  <mergeCells count="45"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  <mergeCell ref="A4:C4"/>
    <mergeCell ref="B6:D6"/>
    <mergeCell ref="B7:D7"/>
    <mergeCell ref="E4:K4"/>
    <mergeCell ref="L4:R4"/>
    <mergeCell ref="S4:Y4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view="pageBreakPreview" zoomScale="60" zoomScaleNormal="70" workbookViewId="0" topLeftCell="A26">
      <selection activeCell="G35" sqref="G35"/>
    </sheetView>
  </sheetViews>
  <sheetFormatPr defaultColWidth="9.140625" defaultRowHeight="12.75"/>
  <cols>
    <col min="1" max="1" width="5.8515625" style="123" customWidth="1"/>
    <col min="2" max="2" width="8.140625" style="130" customWidth="1"/>
    <col min="3" max="3" width="6.8515625" style="130" customWidth="1"/>
    <col min="4" max="4" width="50.140625" style="131" bestFit="1" customWidth="1"/>
    <col min="5" max="5" width="21.57421875" style="1" customWidth="1"/>
    <col min="6" max="7" width="17.00390625" style="1" customWidth="1"/>
    <col min="8" max="8" width="12.140625" style="1" hidden="1" customWidth="1"/>
    <col min="9" max="11" width="11.8515625" style="1" hidden="1" customWidth="1"/>
    <col min="12" max="12" width="20.7109375" style="81" customWidth="1"/>
    <col min="13" max="13" width="19.140625" style="81" bestFit="1" customWidth="1"/>
    <col min="14" max="14" width="18.28125" style="81" customWidth="1"/>
    <col min="15" max="17" width="11.8515625" style="81" hidden="1" customWidth="1"/>
    <col min="18" max="18" width="10.8515625" style="81" hidden="1" customWidth="1"/>
    <col min="19" max="19" width="22.140625" style="81" customWidth="1"/>
    <col min="20" max="20" width="17.28125" style="81" bestFit="1" customWidth="1"/>
    <col min="21" max="21" width="15.7109375" style="1" customWidth="1"/>
    <col min="22" max="22" width="12.421875" style="1" hidden="1" customWidth="1"/>
    <col min="23" max="24" width="9.28125" style="1" hidden="1" customWidth="1"/>
    <col min="25" max="25" width="10.28125" style="1" hidden="1" customWidth="1"/>
    <col min="26" max="26" width="9.140625" style="1" hidden="1" customWidth="1"/>
    <col min="27" max="16384" width="9.140625" style="1" customWidth="1"/>
  </cols>
  <sheetData>
    <row r="1" spans="5:19" ht="15.75">
      <c r="E1" s="1184" t="s">
        <v>60</v>
      </c>
      <c r="F1" s="1184"/>
      <c r="G1" s="1184"/>
      <c r="H1" s="1184"/>
      <c r="I1" s="1184"/>
      <c r="J1" s="1184"/>
      <c r="K1" s="1184"/>
      <c r="L1" s="1184"/>
      <c r="M1" s="1184"/>
      <c r="N1" s="1184"/>
      <c r="O1" s="1184"/>
      <c r="P1" s="1184"/>
      <c r="Q1" s="1184"/>
      <c r="R1" s="1184"/>
      <c r="S1" s="1184"/>
    </row>
    <row r="2" spans="1:20" ht="37.5" customHeight="1">
      <c r="A2" s="1183" t="s">
        <v>545</v>
      </c>
      <c r="B2" s="1183"/>
      <c r="C2" s="1183"/>
      <c r="D2" s="1183"/>
      <c r="E2" s="1183"/>
      <c r="F2" s="1183"/>
      <c r="G2" s="1183"/>
      <c r="H2" s="1183"/>
      <c r="I2" s="1183"/>
      <c r="J2" s="1183"/>
      <c r="K2" s="1183"/>
      <c r="L2" s="1183"/>
      <c r="M2" s="1183"/>
      <c r="N2" s="1183"/>
      <c r="O2" s="1183"/>
      <c r="P2" s="1183"/>
      <c r="Q2" s="1183"/>
      <c r="R2" s="1183"/>
      <c r="S2" s="1183"/>
      <c r="T2" s="255"/>
    </row>
    <row r="3" spans="1:19" ht="14.25" customHeight="1" thickBot="1">
      <c r="A3" s="94"/>
      <c r="B3" s="122"/>
      <c r="C3" s="122"/>
      <c r="D3" s="132"/>
      <c r="S3" s="138" t="s">
        <v>2</v>
      </c>
    </row>
    <row r="4" spans="1:25" s="2" customFormat="1" ht="48.75" customHeight="1" thickBot="1">
      <c r="A4" s="1161" t="s">
        <v>4</v>
      </c>
      <c r="B4" s="1132"/>
      <c r="C4" s="1132"/>
      <c r="D4" s="1132"/>
      <c r="E4" s="317" t="s">
        <v>5</v>
      </c>
      <c r="F4" s="317"/>
      <c r="G4" s="317"/>
      <c r="H4" s="317"/>
      <c r="I4" s="317"/>
      <c r="J4" s="317"/>
      <c r="K4" s="317"/>
      <c r="L4" s="317" t="s">
        <v>66</v>
      </c>
      <c r="M4" s="317"/>
      <c r="N4" s="317"/>
      <c r="O4" s="317"/>
      <c r="P4" s="317"/>
      <c r="Q4" s="317"/>
      <c r="R4" s="317"/>
      <c r="S4" s="1161" t="s">
        <v>67</v>
      </c>
      <c r="T4" s="1132"/>
      <c r="U4" s="1132"/>
      <c r="V4" s="1132"/>
      <c r="W4" s="1132"/>
      <c r="X4" s="1132"/>
      <c r="Y4" s="1182"/>
    </row>
    <row r="5" spans="1:25" s="2" customFormat="1" ht="16.5" thickBot="1">
      <c r="A5" s="313"/>
      <c r="B5" s="311"/>
      <c r="C5" s="311"/>
      <c r="D5" s="311"/>
      <c r="E5" s="417" t="s">
        <v>70</v>
      </c>
      <c r="F5" s="418" t="s">
        <v>241</v>
      </c>
      <c r="G5" s="418" t="s">
        <v>244</v>
      </c>
      <c r="H5" s="418" t="s">
        <v>247</v>
      </c>
      <c r="I5" s="418" t="s">
        <v>263</v>
      </c>
      <c r="J5" s="1010" t="s">
        <v>269</v>
      </c>
      <c r="K5" s="829" t="s">
        <v>251</v>
      </c>
      <c r="L5" s="417" t="s">
        <v>70</v>
      </c>
      <c r="M5" s="418" t="s">
        <v>241</v>
      </c>
      <c r="N5" s="418" t="s">
        <v>244</v>
      </c>
      <c r="O5" s="418" t="s">
        <v>247</v>
      </c>
      <c r="P5" s="418" t="s">
        <v>263</v>
      </c>
      <c r="Q5" s="1010" t="s">
        <v>269</v>
      </c>
      <c r="R5" s="829" t="s">
        <v>251</v>
      </c>
      <c r="S5" s="417" t="s">
        <v>70</v>
      </c>
      <c r="T5" s="418" t="s">
        <v>241</v>
      </c>
      <c r="U5" s="418" t="s">
        <v>244</v>
      </c>
      <c r="V5" s="418" t="s">
        <v>247</v>
      </c>
      <c r="W5" s="418" t="s">
        <v>263</v>
      </c>
      <c r="X5" s="1010" t="s">
        <v>269</v>
      </c>
      <c r="Y5" s="829" t="s">
        <v>251</v>
      </c>
    </row>
    <row r="6" spans="1:26" s="80" customFormat="1" ht="22.5" customHeight="1" thickBot="1">
      <c r="A6" s="115" t="s">
        <v>30</v>
      </c>
      <c r="B6" s="1162" t="s">
        <v>83</v>
      </c>
      <c r="C6" s="1162"/>
      <c r="D6" s="1162"/>
      <c r="E6" s="371">
        <f aca="true" t="shared" si="0" ref="E6:J6">SUM(E7:E11)</f>
        <v>264903761</v>
      </c>
      <c r="F6" s="371">
        <f>SUM(F7:F11)</f>
        <v>265084818</v>
      </c>
      <c r="G6" s="371">
        <f>SUM(G7:G11)</f>
        <v>264890278</v>
      </c>
      <c r="H6" s="371">
        <f t="shared" si="0"/>
        <v>0</v>
      </c>
      <c r="I6" s="371">
        <f t="shared" si="0"/>
        <v>0</v>
      </c>
      <c r="J6" s="371">
        <f t="shared" si="0"/>
        <v>0</v>
      </c>
      <c r="K6" s="795" t="e">
        <f>I6/H6</f>
        <v>#DIV/0!</v>
      </c>
      <c r="L6" s="371">
        <f aca="true" t="shared" si="1" ref="L6:Q6">SUM(L7:L11)</f>
        <v>249255968</v>
      </c>
      <c r="M6" s="371">
        <f>SUM(M7:M11)</f>
        <v>249437025</v>
      </c>
      <c r="N6" s="371">
        <f>SUM(N7:N11)</f>
        <v>249232485</v>
      </c>
      <c r="O6" s="300">
        <f t="shared" si="1"/>
        <v>0</v>
      </c>
      <c r="P6" s="300">
        <f t="shared" si="1"/>
        <v>0</v>
      </c>
      <c r="Q6" s="300">
        <f t="shared" si="1"/>
        <v>0</v>
      </c>
      <c r="R6" s="795" t="e">
        <f>P6/O6</f>
        <v>#DIV/0!</v>
      </c>
      <c r="S6" s="371">
        <f aca="true" t="shared" si="2" ref="S6:X6">SUM(S7:S11)</f>
        <v>15647793</v>
      </c>
      <c r="T6" s="371">
        <f t="shared" si="2"/>
        <v>15647793</v>
      </c>
      <c r="U6" s="371">
        <f>SUM(U7:U11)</f>
        <v>15657793</v>
      </c>
      <c r="V6" s="300">
        <f t="shared" si="2"/>
        <v>0</v>
      </c>
      <c r="W6" s="300">
        <f t="shared" si="2"/>
        <v>0</v>
      </c>
      <c r="X6" s="300">
        <f t="shared" si="2"/>
        <v>0</v>
      </c>
      <c r="Y6" s="795" t="e">
        <f>W6/V6</f>
        <v>#DIV/0!</v>
      </c>
      <c r="Z6" s="300">
        <f>SUM(Z7:Z11)</f>
        <v>0</v>
      </c>
    </row>
    <row r="7" spans="1:26" s="5" customFormat="1" ht="22.5" customHeight="1">
      <c r="A7" s="114"/>
      <c r="B7" s="119" t="s">
        <v>39</v>
      </c>
      <c r="C7" s="119"/>
      <c r="D7" s="361" t="s">
        <v>0</v>
      </c>
      <c r="E7" s="372">
        <v>43693300</v>
      </c>
      <c r="F7" s="372">
        <v>43693300</v>
      </c>
      <c r="G7" s="372">
        <v>43693300</v>
      </c>
      <c r="H7" s="372"/>
      <c r="I7" s="372"/>
      <c r="J7" s="1011"/>
      <c r="K7" s="796"/>
      <c r="L7" s="372">
        <f aca="true" t="shared" si="3" ref="L7:N8">E7</f>
        <v>43693300</v>
      </c>
      <c r="M7" s="372">
        <f t="shared" si="3"/>
        <v>43693300</v>
      </c>
      <c r="N7" s="372">
        <f t="shared" si="3"/>
        <v>43693300</v>
      </c>
      <c r="O7" s="372"/>
      <c r="P7" s="372"/>
      <c r="Q7" s="372"/>
      <c r="R7" s="796"/>
      <c r="S7" s="372">
        <v>0</v>
      </c>
      <c r="T7" s="372">
        <v>0</v>
      </c>
      <c r="U7" s="372">
        <v>0</v>
      </c>
      <c r="V7" s="302"/>
      <c r="W7" s="302"/>
      <c r="X7" s="302"/>
      <c r="Y7" s="796"/>
      <c r="Z7" s="302"/>
    </row>
    <row r="8" spans="1:26" s="5" customFormat="1" ht="22.5" customHeight="1">
      <c r="A8" s="97"/>
      <c r="B8" s="106" t="s">
        <v>40</v>
      </c>
      <c r="C8" s="106"/>
      <c r="D8" s="362" t="s">
        <v>84</v>
      </c>
      <c r="E8" s="420">
        <v>10704481</v>
      </c>
      <c r="F8" s="420">
        <v>10704481</v>
      </c>
      <c r="G8" s="420">
        <v>10704481</v>
      </c>
      <c r="H8" s="420"/>
      <c r="I8" s="420"/>
      <c r="J8" s="1012"/>
      <c r="K8" s="970"/>
      <c r="L8" s="372">
        <f t="shared" si="3"/>
        <v>10704481</v>
      </c>
      <c r="M8" s="372">
        <f t="shared" si="3"/>
        <v>10704481</v>
      </c>
      <c r="N8" s="372">
        <f t="shared" si="3"/>
        <v>10704481</v>
      </c>
      <c r="O8" s="420"/>
      <c r="P8" s="420"/>
      <c r="Q8" s="420"/>
      <c r="R8" s="970"/>
      <c r="S8" s="420">
        <v>0</v>
      </c>
      <c r="T8" s="420">
        <v>0</v>
      </c>
      <c r="U8" s="420">
        <v>0</v>
      </c>
      <c r="V8" s="421"/>
      <c r="W8" s="421"/>
      <c r="X8" s="421"/>
      <c r="Y8" s="970"/>
      <c r="Z8" s="422"/>
    </row>
    <row r="9" spans="1:26" s="5" customFormat="1" ht="22.5" customHeight="1">
      <c r="A9" s="97"/>
      <c r="B9" s="106" t="s">
        <v>41</v>
      </c>
      <c r="C9" s="106"/>
      <c r="D9" s="362" t="s">
        <v>85</v>
      </c>
      <c r="E9" s="420">
        <v>62430894</v>
      </c>
      <c r="F9" s="420">
        <v>62430894</v>
      </c>
      <c r="G9" s="420">
        <f>62430894-204540</f>
        <v>62226354</v>
      </c>
      <c r="H9" s="420"/>
      <c r="I9" s="420"/>
      <c r="J9" s="1012"/>
      <c r="K9" s="970"/>
      <c r="L9" s="420">
        <f>'8.sz.m.Dologi kiadás (3)'!K21</f>
        <v>60589170</v>
      </c>
      <c r="M9" s="420">
        <f>'8.sz.m.Dologi kiadás (3)'!L21</f>
        <v>60589170</v>
      </c>
      <c r="N9" s="420">
        <f>'8.sz.m.Dologi kiadás (3)'!M21</f>
        <v>60384630</v>
      </c>
      <c r="O9" s="420"/>
      <c r="P9" s="420"/>
      <c r="Q9" s="420"/>
      <c r="R9" s="970"/>
      <c r="S9" s="420">
        <f>'8.sz.m.Dologi kiadás (3)'!R21</f>
        <v>1841724</v>
      </c>
      <c r="T9" s="420">
        <f>'8.sz.m.Dologi kiadás (3)'!S21</f>
        <v>1841724</v>
      </c>
      <c r="U9" s="420">
        <f>'8.sz.m.Dologi kiadás (3)'!T21</f>
        <v>1841724</v>
      </c>
      <c r="V9" s="420"/>
      <c r="W9" s="420"/>
      <c r="X9" s="420"/>
      <c r="Y9" s="970" t="e">
        <f>W9/V9</f>
        <v>#DIV/0!</v>
      </c>
      <c r="Z9" s="422"/>
    </row>
    <row r="10" spans="1:26" s="5" customFormat="1" ht="22.5" customHeight="1">
      <c r="A10" s="97"/>
      <c r="B10" s="106" t="s">
        <v>52</v>
      </c>
      <c r="C10" s="106"/>
      <c r="D10" s="362" t="s">
        <v>86</v>
      </c>
      <c r="E10" s="367">
        <v>4774766</v>
      </c>
      <c r="F10" s="367">
        <v>4774766</v>
      </c>
      <c r="G10" s="367">
        <v>4774766</v>
      </c>
      <c r="H10" s="367"/>
      <c r="I10" s="367"/>
      <c r="J10" s="1013"/>
      <c r="K10" s="971"/>
      <c r="L10" s="367">
        <f>'9.sz.m.szociális kiadások (2)'!C16+'9.sz.m.szociális kiadások (2)'!C18</f>
        <v>2024766</v>
      </c>
      <c r="M10" s="367">
        <f>'9.sz.m.szociális kiadások (2)'!D16+'9.sz.m.szociális kiadások (2)'!D18</f>
        <v>2024766</v>
      </c>
      <c r="N10" s="367">
        <f>'9.sz.m.szociális kiadások (2)'!E16+'9.sz.m.szociális kiadások (2)'!E18</f>
        <v>2024766</v>
      </c>
      <c r="O10" s="367"/>
      <c r="P10" s="367"/>
      <c r="Q10" s="367"/>
      <c r="R10" s="971"/>
      <c r="S10" s="367">
        <f>SUM('9.sz.m.szociális kiadások (2)'!C10:C15)</f>
        <v>2750000</v>
      </c>
      <c r="T10" s="367">
        <f>SUM('9.sz.m.szociális kiadások (2)'!D10:D15)</f>
        <v>2750000</v>
      </c>
      <c r="U10" s="367">
        <f>SUM('9.sz.m.szociális kiadások (2)'!E10:E15)</f>
        <v>2750000</v>
      </c>
      <c r="V10" s="367"/>
      <c r="W10" s="367"/>
      <c r="X10" s="367"/>
      <c r="Y10" s="971" t="e">
        <f>W10/V10</f>
        <v>#DIV/0!</v>
      </c>
      <c r="Z10" s="302"/>
    </row>
    <row r="11" spans="1:26" s="5" customFormat="1" ht="22.5" customHeight="1">
      <c r="A11" s="97"/>
      <c r="B11" s="106" t="s">
        <v>53</v>
      </c>
      <c r="C11" s="106"/>
      <c r="D11" s="363" t="s">
        <v>88</v>
      </c>
      <c r="E11" s="420">
        <f aca="true" t="shared" si="4" ref="E11:J11">SUM(E12:E16)</f>
        <v>143300320</v>
      </c>
      <c r="F11" s="420">
        <f>SUM(F12:F16)</f>
        <v>143481377</v>
      </c>
      <c r="G11" s="420">
        <f>SUM(G12:G16)</f>
        <v>143491377</v>
      </c>
      <c r="H11" s="420">
        <f t="shared" si="4"/>
        <v>0</v>
      </c>
      <c r="I11" s="420">
        <f t="shared" si="4"/>
        <v>0</v>
      </c>
      <c r="J11" s="420">
        <f t="shared" si="4"/>
        <v>0</v>
      </c>
      <c r="K11" s="970" t="e">
        <f>I11/H11</f>
        <v>#DIV/0!</v>
      </c>
      <c r="L11" s="420">
        <f aca="true" t="shared" si="5" ref="L11:Q11">E11-S11</f>
        <v>132244251</v>
      </c>
      <c r="M11" s="420">
        <f t="shared" si="5"/>
        <v>132425308</v>
      </c>
      <c r="N11" s="420">
        <f t="shared" si="5"/>
        <v>132425308</v>
      </c>
      <c r="O11" s="421">
        <f t="shared" si="5"/>
        <v>0</v>
      </c>
      <c r="P11" s="421">
        <f t="shared" si="5"/>
        <v>0</v>
      </c>
      <c r="Q11" s="421">
        <f t="shared" si="5"/>
        <v>0</v>
      </c>
      <c r="R11" s="970" t="e">
        <f>P11/O11</f>
        <v>#DIV/0!</v>
      </c>
      <c r="S11" s="420">
        <f aca="true" t="shared" si="6" ref="S11:X11">SUM(S12:S16)</f>
        <v>11056069</v>
      </c>
      <c r="T11" s="420">
        <f>SUM(T12:T16)</f>
        <v>11056069</v>
      </c>
      <c r="U11" s="420">
        <f>SUM(U12:U16)</f>
        <v>11066069</v>
      </c>
      <c r="V11" s="421">
        <f t="shared" si="6"/>
        <v>0</v>
      </c>
      <c r="W11" s="421">
        <f t="shared" si="6"/>
        <v>0</v>
      </c>
      <c r="X11" s="421">
        <f t="shared" si="6"/>
        <v>0</v>
      </c>
      <c r="Y11" s="970" t="e">
        <f>W11/V11</f>
        <v>#DIV/0!</v>
      </c>
      <c r="Z11" s="421"/>
    </row>
    <row r="12" spans="1:26" s="5" customFormat="1" ht="22.5" customHeight="1">
      <c r="A12" s="97"/>
      <c r="B12" s="129"/>
      <c r="C12" s="106" t="s">
        <v>87</v>
      </c>
      <c r="D12" s="364" t="s">
        <v>297</v>
      </c>
      <c r="E12" s="367">
        <v>0</v>
      </c>
      <c r="F12" s="367">
        <v>181057</v>
      </c>
      <c r="G12" s="367">
        <v>181057</v>
      </c>
      <c r="H12" s="367"/>
      <c r="I12" s="367"/>
      <c r="J12" s="1013"/>
      <c r="K12" s="971"/>
      <c r="L12" s="372">
        <f>E12</f>
        <v>0</v>
      </c>
      <c r="M12" s="372">
        <f>F12</f>
        <v>181057</v>
      </c>
      <c r="N12" s="372">
        <f>G12</f>
        <v>181057</v>
      </c>
      <c r="O12" s="299"/>
      <c r="P12" s="299"/>
      <c r="Q12" s="299"/>
      <c r="R12" s="971"/>
      <c r="S12" s="367">
        <v>0</v>
      </c>
      <c r="T12" s="367">
        <v>0</v>
      </c>
      <c r="U12" s="367">
        <v>0</v>
      </c>
      <c r="V12" s="299"/>
      <c r="W12" s="299"/>
      <c r="X12" s="299"/>
      <c r="Y12" s="971"/>
      <c r="Z12" s="302"/>
    </row>
    <row r="13" spans="1:26" s="5" customFormat="1" ht="31.5" customHeight="1">
      <c r="A13" s="97"/>
      <c r="B13" s="106"/>
      <c r="C13" s="106" t="s">
        <v>89</v>
      </c>
      <c r="D13" s="362" t="s">
        <v>298</v>
      </c>
      <c r="E13" s="367">
        <v>10018325</v>
      </c>
      <c r="F13" s="367">
        <v>10018325</v>
      </c>
      <c r="G13" s="367">
        <f>10018325+10000</f>
        <v>10028325</v>
      </c>
      <c r="H13" s="367"/>
      <c r="I13" s="367"/>
      <c r="J13" s="1013"/>
      <c r="K13" s="971"/>
      <c r="L13" s="367">
        <f>'10.sz.m.átadott pe (3)'!B55</f>
        <v>0</v>
      </c>
      <c r="M13" s="367">
        <f>'10.sz.m.átadott pe (3)'!C55</f>
        <v>0</v>
      </c>
      <c r="N13" s="367">
        <f>'10.sz.m.átadott pe (3)'!D55</f>
        <v>0</v>
      </c>
      <c r="O13" s="367"/>
      <c r="P13" s="367"/>
      <c r="Q13" s="367"/>
      <c r="R13" s="971"/>
      <c r="S13" s="367">
        <f>'10.sz.m.átadott pe (3)'!I55</f>
        <v>10018325</v>
      </c>
      <c r="T13" s="367">
        <f>'10.sz.m.átadott pe (3)'!J55</f>
        <v>10018325</v>
      </c>
      <c r="U13" s="367">
        <f>'10.sz.m.átadott pe (3)'!K55</f>
        <v>10028325</v>
      </c>
      <c r="V13" s="367"/>
      <c r="W13" s="367"/>
      <c r="X13" s="367"/>
      <c r="Y13" s="971" t="e">
        <f>W13/V13</f>
        <v>#DIV/0!</v>
      </c>
      <c r="Z13" s="302"/>
    </row>
    <row r="14" spans="1:26" s="5" customFormat="1" ht="36.75" customHeight="1" thickBot="1">
      <c r="A14" s="125"/>
      <c r="B14" s="126"/>
      <c r="C14" s="106" t="s">
        <v>90</v>
      </c>
      <c r="D14" s="362" t="s">
        <v>299</v>
      </c>
      <c r="E14" s="367">
        <v>133281995</v>
      </c>
      <c r="F14" s="367">
        <f>133281995</f>
        <v>133281995</v>
      </c>
      <c r="G14" s="367">
        <f>133281995</f>
        <v>133281995</v>
      </c>
      <c r="H14" s="367"/>
      <c r="I14" s="367"/>
      <c r="J14" s="1013"/>
      <c r="K14" s="971"/>
      <c r="L14" s="367">
        <f>'10.sz.m.átadott pe (3)'!B82</f>
        <v>132244251</v>
      </c>
      <c r="M14" s="367">
        <f>'10.sz.m.átadott pe (3)'!C82</f>
        <v>132244251</v>
      </c>
      <c r="N14" s="367">
        <f>'10.sz.m.átadott pe (3)'!D82</f>
        <v>132244251</v>
      </c>
      <c r="O14" s="367"/>
      <c r="P14" s="367"/>
      <c r="Q14" s="367"/>
      <c r="R14" s="971"/>
      <c r="S14" s="367">
        <f>'10.sz.m.átadott pe (3)'!I82</f>
        <v>1037744</v>
      </c>
      <c r="T14" s="367">
        <f>'10.sz.m.átadott pe (3)'!J82</f>
        <v>1037744</v>
      </c>
      <c r="U14" s="367">
        <f>'10.sz.m.átadott pe (3)'!K82</f>
        <v>1037744</v>
      </c>
      <c r="V14" s="367"/>
      <c r="W14" s="367"/>
      <c r="X14" s="367"/>
      <c r="Y14" s="971" t="e">
        <f>W14/V14</f>
        <v>#DIV/0!</v>
      </c>
      <c r="Z14" s="302"/>
    </row>
    <row r="15" spans="1:26" s="5" customFormat="1" ht="22.5" customHeight="1" hidden="1">
      <c r="A15" s="97"/>
      <c r="B15" s="106"/>
      <c r="C15" s="106" t="s">
        <v>93</v>
      </c>
      <c r="D15" s="362" t="s">
        <v>95</v>
      </c>
      <c r="E15" s="420"/>
      <c r="F15" s="420"/>
      <c r="G15" s="420"/>
      <c r="H15" s="420"/>
      <c r="I15" s="420"/>
      <c r="J15" s="1012"/>
      <c r="K15" s="970" t="e">
        <f>I15/H15</f>
        <v>#DIV/0!</v>
      </c>
      <c r="L15" s="420"/>
      <c r="M15" s="420"/>
      <c r="N15" s="420"/>
      <c r="O15" s="421"/>
      <c r="P15" s="421"/>
      <c r="Q15" s="421"/>
      <c r="R15" s="970" t="e">
        <f>P15/O15</f>
        <v>#DIV/0!</v>
      </c>
      <c r="S15" s="420"/>
      <c r="T15" s="420"/>
      <c r="U15" s="420"/>
      <c r="V15" s="421"/>
      <c r="W15" s="421"/>
      <c r="X15" s="421"/>
      <c r="Y15" s="970" t="e">
        <f>W15/V15</f>
        <v>#DIV/0!</v>
      </c>
      <c r="Z15" s="422"/>
    </row>
    <row r="16" spans="1:26" s="5" customFormat="1" ht="22.5" customHeight="1" hidden="1" thickBot="1">
      <c r="A16" s="133"/>
      <c r="B16" s="120"/>
      <c r="C16" s="120" t="s">
        <v>94</v>
      </c>
      <c r="D16" s="365" t="s">
        <v>96</v>
      </c>
      <c r="E16" s="377"/>
      <c r="F16" s="377"/>
      <c r="G16" s="377"/>
      <c r="H16" s="377"/>
      <c r="I16" s="377"/>
      <c r="J16" s="1014"/>
      <c r="K16" s="800" t="e">
        <f>I16/H16</f>
        <v>#DIV/0!</v>
      </c>
      <c r="L16" s="377"/>
      <c r="M16" s="377"/>
      <c r="N16" s="377"/>
      <c r="O16" s="136"/>
      <c r="P16" s="136"/>
      <c r="Q16" s="136"/>
      <c r="R16" s="800" t="e">
        <f>P16/O16</f>
        <v>#DIV/0!</v>
      </c>
      <c r="S16" s="377"/>
      <c r="T16" s="377"/>
      <c r="U16" s="377"/>
      <c r="V16" s="136"/>
      <c r="W16" s="136"/>
      <c r="X16" s="136"/>
      <c r="Y16" s="800" t="e">
        <f>W16/V16</f>
        <v>#DIV/0!</v>
      </c>
      <c r="Z16" s="423"/>
    </row>
    <row r="17" spans="1:26" s="5" customFormat="1" ht="22.5" customHeight="1" thickBot="1">
      <c r="A17" s="115" t="s">
        <v>31</v>
      </c>
      <c r="B17" s="1162" t="s">
        <v>97</v>
      </c>
      <c r="C17" s="1162"/>
      <c r="D17" s="1162"/>
      <c r="E17" s="373">
        <f aca="true" t="shared" si="7" ref="E17:J17">SUM(E18:E20)</f>
        <v>34050000</v>
      </c>
      <c r="F17" s="373">
        <f>SUM(F18:F20)</f>
        <v>34050000</v>
      </c>
      <c r="G17" s="373">
        <f>SUM(G18:G20)</f>
        <v>32730401</v>
      </c>
      <c r="H17" s="373">
        <f t="shared" si="7"/>
        <v>0</v>
      </c>
      <c r="I17" s="373">
        <f t="shared" si="7"/>
        <v>0</v>
      </c>
      <c r="J17" s="373">
        <f t="shared" si="7"/>
        <v>0</v>
      </c>
      <c r="K17" s="797" t="e">
        <f>I17/H17</f>
        <v>#DIV/0!</v>
      </c>
      <c r="L17" s="373">
        <f aca="true" t="shared" si="8" ref="L17:Q17">SUM(L18:L20)</f>
        <v>29050000</v>
      </c>
      <c r="M17" s="373">
        <f>SUM(M18:M20)</f>
        <v>29050000</v>
      </c>
      <c r="N17" s="373">
        <f>SUM(N18:N20)</f>
        <v>27730401</v>
      </c>
      <c r="O17" s="79">
        <f t="shared" si="8"/>
        <v>0</v>
      </c>
      <c r="P17" s="79">
        <f t="shared" si="8"/>
        <v>0</v>
      </c>
      <c r="Q17" s="79">
        <f t="shared" si="8"/>
        <v>0</v>
      </c>
      <c r="R17" s="797" t="e">
        <f>P17/O17</f>
        <v>#DIV/0!</v>
      </c>
      <c r="S17" s="373">
        <f aca="true" t="shared" si="9" ref="S17:X17">SUM(S18:S20)</f>
        <v>5000000</v>
      </c>
      <c r="T17" s="373">
        <f>SUM(T18:T20)</f>
        <v>5000000</v>
      </c>
      <c r="U17" s="373">
        <f>SUM(U18:U20)</f>
        <v>5000000</v>
      </c>
      <c r="V17" s="79">
        <f t="shared" si="9"/>
        <v>0</v>
      </c>
      <c r="W17" s="79">
        <f t="shared" si="9"/>
        <v>0</v>
      </c>
      <c r="X17" s="79">
        <f t="shared" si="9"/>
        <v>0</v>
      </c>
      <c r="Y17" s="797" t="e">
        <f>W17/V17</f>
        <v>#DIV/0!</v>
      </c>
      <c r="Z17" s="79">
        <f>SUM(Z18:Z20)</f>
        <v>0</v>
      </c>
    </row>
    <row r="18" spans="1:26" s="5" customFormat="1" ht="22.5" customHeight="1">
      <c r="A18" s="114"/>
      <c r="B18" s="119" t="s">
        <v>42</v>
      </c>
      <c r="C18" s="1167" t="s">
        <v>98</v>
      </c>
      <c r="D18" s="1167"/>
      <c r="E18" s="372">
        <v>50000</v>
      </c>
      <c r="F18" s="372">
        <v>50000</v>
      </c>
      <c r="G18" s="372">
        <f>50000+2276220</f>
        <v>2326220</v>
      </c>
      <c r="H18" s="372"/>
      <c r="I18" s="372"/>
      <c r="J18" s="1011"/>
      <c r="K18" s="796"/>
      <c r="L18" s="372">
        <f>'7.a.sz.m.fejlesztés (3)'!D16</f>
        <v>50000</v>
      </c>
      <c r="M18" s="372">
        <f>'7.a.sz.m.fejlesztés (3)'!E16</f>
        <v>50000</v>
      </c>
      <c r="N18" s="372">
        <f>'7.a.sz.m.fejlesztés (3)'!F16</f>
        <v>2326220</v>
      </c>
      <c r="O18" s="372"/>
      <c r="P18" s="372"/>
      <c r="Q18" s="372"/>
      <c r="R18" s="796" t="e">
        <f>P18/O18</f>
        <v>#DIV/0!</v>
      </c>
      <c r="S18" s="372">
        <v>0</v>
      </c>
      <c r="T18" s="372">
        <v>0</v>
      </c>
      <c r="U18" s="372">
        <v>0</v>
      </c>
      <c r="V18" s="302"/>
      <c r="W18" s="302"/>
      <c r="X18" s="302"/>
      <c r="Y18" s="796"/>
      <c r="Z18" s="302">
        <v>0</v>
      </c>
    </row>
    <row r="19" spans="1:26" s="5" customFormat="1" ht="22.5" customHeight="1">
      <c r="A19" s="97"/>
      <c r="B19" s="106" t="s">
        <v>43</v>
      </c>
      <c r="C19" s="1168" t="s">
        <v>99</v>
      </c>
      <c r="D19" s="1168"/>
      <c r="E19" s="367">
        <v>29000000</v>
      </c>
      <c r="F19" s="367">
        <v>29000000</v>
      </c>
      <c r="G19" s="367">
        <f>29000000-3595819</f>
        <v>25404181</v>
      </c>
      <c r="H19" s="367"/>
      <c r="I19" s="367"/>
      <c r="J19" s="1013"/>
      <c r="K19" s="971"/>
      <c r="L19" s="367">
        <f>'7.a.sz.m.fejlesztés (3)'!D32</f>
        <v>29000000</v>
      </c>
      <c r="M19" s="367">
        <f>'7.a.sz.m.fejlesztés (3)'!E32</f>
        <v>29000000</v>
      </c>
      <c r="N19" s="367">
        <f>'7.a.sz.m.fejlesztés (3)'!F32</f>
        <v>25404181</v>
      </c>
      <c r="O19" s="367"/>
      <c r="P19" s="367"/>
      <c r="Q19" s="367"/>
      <c r="R19" s="971" t="e">
        <f>P19/O19</f>
        <v>#DIV/0!</v>
      </c>
      <c r="S19" s="367">
        <v>0</v>
      </c>
      <c r="T19" s="367">
        <v>0</v>
      </c>
      <c r="U19" s="367">
        <v>0</v>
      </c>
      <c r="V19" s="299"/>
      <c r="W19" s="299"/>
      <c r="X19" s="299"/>
      <c r="Y19" s="971"/>
      <c r="Z19" s="299">
        <v>0</v>
      </c>
    </row>
    <row r="20" spans="1:26" s="5" customFormat="1" ht="22.5" customHeight="1">
      <c r="A20" s="127"/>
      <c r="B20" s="106" t="s">
        <v>44</v>
      </c>
      <c r="C20" s="1159" t="s">
        <v>100</v>
      </c>
      <c r="D20" s="1159"/>
      <c r="E20" s="420">
        <f aca="true" t="shared" si="10" ref="E20:S20">SUM(E21:E24)</f>
        <v>5000000</v>
      </c>
      <c r="F20" s="420">
        <f>SUM(F21:F24)</f>
        <v>5000000</v>
      </c>
      <c r="G20" s="420">
        <f>SUM(G21:G24)</f>
        <v>5000000</v>
      </c>
      <c r="H20" s="420">
        <f t="shared" si="10"/>
        <v>0</v>
      </c>
      <c r="I20" s="420">
        <f t="shared" si="10"/>
        <v>0</v>
      </c>
      <c r="J20" s="420">
        <f t="shared" si="10"/>
        <v>0</v>
      </c>
      <c r="K20" s="420">
        <f t="shared" si="10"/>
        <v>0</v>
      </c>
      <c r="L20" s="420">
        <f t="shared" si="10"/>
        <v>0</v>
      </c>
      <c r="M20" s="420">
        <f>SUM(M21:M24)</f>
        <v>0</v>
      </c>
      <c r="N20" s="420">
        <f>SUM(N21:N24)</f>
        <v>0</v>
      </c>
      <c r="O20" s="420">
        <f t="shared" si="10"/>
        <v>0</v>
      </c>
      <c r="P20" s="420">
        <f t="shared" si="10"/>
        <v>0</v>
      </c>
      <c r="Q20" s="420">
        <f t="shared" si="10"/>
        <v>0</v>
      </c>
      <c r="R20" s="420">
        <f t="shared" si="10"/>
        <v>0</v>
      </c>
      <c r="S20" s="420">
        <f t="shared" si="10"/>
        <v>5000000</v>
      </c>
      <c r="T20" s="420">
        <f>SUM(T21:T24)</f>
        <v>5000000</v>
      </c>
      <c r="U20" s="420">
        <f>SUM(U21:U24)</f>
        <v>5000000</v>
      </c>
      <c r="V20" s="421">
        <f>SUM(V21:V24)</f>
        <v>0</v>
      </c>
      <c r="W20" s="421">
        <f>SUM(W21:W24)</f>
        <v>0</v>
      </c>
      <c r="X20" s="421">
        <f>SUM(X21:X24)</f>
        <v>0</v>
      </c>
      <c r="Y20" s="970" t="e">
        <f>W20/V20</f>
        <v>#DIV/0!</v>
      </c>
      <c r="Z20" s="421"/>
    </row>
    <row r="21" spans="1:26" s="5" customFormat="1" ht="22.5" customHeight="1">
      <c r="A21" s="103"/>
      <c r="B21" s="107"/>
      <c r="C21" s="107" t="s">
        <v>101</v>
      </c>
      <c r="D21" s="257" t="s">
        <v>91</v>
      </c>
      <c r="E21" s="367">
        <v>5000000</v>
      </c>
      <c r="F21" s="367">
        <v>5000000</v>
      </c>
      <c r="G21" s="367">
        <v>5000000</v>
      </c>
      <c r="H21" s="367"/>
      <c r="I21" s="367"/>
      <c r="J21" s="1013"/>
      <c r="K21" s="971"/>
      <c r="L21" s="420">
        <f>E21-S21</f>
        <v>0</v>
      </c>
      <c r="M21" s="420">
        <f>F21-T21</f>
        <v>0</v>
      </c>
      <c r="N21" s="420">
        <f>G21-U21</f>
        <v>0</v>
      </c>
      <c r="O21" s="299"/>
      <c r="P21" s="299"/>
      <c r="Q21" s="299"/>
      <c r="R21" s="971"/>
      <c r="S21" s="367">
        <f>'10.sz.m.átadott pe (3)'!U55</f>
        <v>5000000</v>
      </c>
      <c r="T21" s="367">
        <f>'10.sz.m.átadott pe (3)'!V55</f>
        <v>5000000</v>
      </c>
      <c r="U21" s="367">
        <f>'10.sz.m.átadott pe (3)'!W55</f>
        <v>5000000</v>
      </c>
      <c r="V21" s="367"/>
      <c r="W21" s="367"/>
      <c r="X21" s="367"/>
      <c r="Y21" s="971" t="e">
        <f>W21/V21</f>
        <v>#DIV/0!</v>
      </c>
      <c r="Z21" s="302"/>
    </row>
    <row r="22" spans="1:26" s="5" customFormat="1" ht="22.5" customHeight="1">
      <c r="A22" s="103"/>
      <c r="B22" s="107"/>
      <c r="C22" s="107" t="s">
        <v>102</v>
      </c>
      <c r="D22" s="257" t="s">
        <v>92</v>
      </c>
      <c r="E22" s="367">
        <v>0</v>
      </c>
      <c r="F22" s="367">
        <v>0</v>
      </c>
      <c r="G22" s="367">
        <v>0</v>
      </c>
      <c r="H22" s="367">
        <v>0</v>
      </c>
      <c r="I22" s="367">
        <v>0</v>
      </c>
      <c r="J22" s="1013"/>
      <c r="K22" s="971"/>
      <c r="L22" s="367">
        <v>0</v>
      </c>
      <c r="M22" s="367">
        <v>0</v>
      </c>
      <c r="N22" s="367">
        <v>0</v>
      </c>
      <c r="O22" s="299">
        <v>0</v>
      </c>
      <c r="P22" s="299">
        <v>0</v>
      </c>
      <c r="Q22" s="299">
        <v>0</v>
      </c>
      <c r="R22" s="971"/>
      <c r="S22" s="367">
        <v>0</v>
      </c>
      <c r="T22" s="367">
        <v>0</v>
      </c>
      <c r="U22" s="367">
        <v>0</v>
      </c>
      <c r="V22" s="299">
        <v>0</v>
      </c>
      <c r="W22" s="299">
        <v>0</v>
      </c>
      <c r="X22" s="299">
        <v>0</v>
      </c>
      <c r="Y22" s="971"/>
      <c r="Z22" s="299">
        <v>0</v>
      </c>
    </row>
    <row r="23" spans="1:26" s="5" customFormat="1" ht="22.5" customHeight="1">
      <c r="A23" s="127"/>
      <c r="B23" s="257"/>
      <c r="C23" s="107" t="s">
        <v>103</v>
      </c>
      <c r="D23" s="257" t="s">
        <v>95</v>
      </c>
      <c r="E23" s="420">
        <v>0</v>
      </c>
      <c r="F23" s="420">
        <v>0</v>
      </c>
      <c r="G23" s="420">
        <v>0</v>
      </c>
      <c r="H23" s="420">
        <v>0</v>
      </c>
      <c r="I23" s="420">
        <v>0</v>
      </c>
      <c r="J23" s="1012"/>
      <c r="K23" s="970"/>
      <c r="L23" s="420">
        <v>0</v>
      </c>
      <c r="M23" s="420">
        <v>0</v>
      </c>
      <c r="N23" s="420">
        <v>0</v>
      </c>
      <c r="O23" s="421">
        <v>0</v>
      </c>
      <c r="P23" s="421">
        <v>0</v>
      </c>
      <c r="Q23" s="421">
        <v>0</v>
      </c>
      <c r="R23" s="970"/>
      <c r="S23" s="420">
        <v>0</v>
      </c>
      <c r="T23" s="420">
        <v>0</v>
      </c>
      <c r="U23" s="420">
        <v>0</v>
      </c>
      <c r="V23" s="421">
        <v>0</v>
      </c>
      <c r="W23" s="421">
        <v>0</v>
      </c>
      <c r="X23" s="421">
        <v>0</v>
      </c>
      <c r="Y23" s="970"/>
      <c r="Z23" s="421">
        <v>0</v>
      </c>
    </row>
    <row r="24" spans="1:26" s="5" customFormat="1" ht="22.5" customHeight="1" thickBot="1">
      <c r="A24" s="282"/>
      <c r="B24" s="283"/>
      <c r="C24" s="284" t="s">
        <v>217</v>
      </c>
      <c r="D24" s="283" t="s">
        <v>218</v>
      </c>
      <c r="E24" s="424">
        <v>0</v>
      </c>
      <c r="F24" s="424">
        <v>0</v>
      </c>
      <c r="G24" s="424">
        <v>0</v>
      </c>
      <c r="H24" s="424">
        <v>0</v>
      </c>
      <c r="I24" s="424">
        <v>0</v>
      </c>
      <c r="J24" s="1015"/>
      <c r="K24" s="972"/>
      <c r="L24" s="424">
        <v>0</v>
      </c>
      <c r="M24" s="424">
        <v>0</v>
      </c>
      <c r="N24" s="424">
        <v>0</v>
      </c>
      <c r="O24" s="423">
        <v>0</v>
      </c>
      <c r="P24" s="423">
        <v>0</v>
      </c>
      <c r="Q24" s="423">
        <v>0</v>
      </c>
      <c r="R24" s="972"/>
      <c r="S24" s="424">
        <v>0</v>
      </c>
      <c r="T24" s="424">
        <v>0</v>
      </c>
      <c r="U24" s="424">
        <v>0</v>
      </c>
      <c r="V24" s="423">
        <v>0</v>
      </c>
      <c r="W24" s="423">
        <v>0</v>
      </c>
      <c r="X24" s="423">
        <v>0</v>
      </c>
      <c r="Y24" s="972"/>
      <c r="Z24" s="423">
        <v>0</v>
      </c>
    </row>
    <row r="25" spans="1:26" s="5" customFormat="1" ht="22.5" customHeight="1" thickBot="1">
      <c r="A25" s="115" t="s">
        <v>10</v>
      </c>
      <c r="B25" s="1162" t="s">
        <v>104</v>
      </c>
      <c r="C25" s="1162"/>
      <c r="D25" s="1162"/>
      <c r="E25" s="373">
        <f aca="true" t="shared" si="11" ref="E25:J25">SUM(E26:E28)</f>
        <v>87607657</v>
      </c>
      <c r="F25" s="373">
        <f t="shared" si="11"/>
        <v>58656600</v>
      </c>
      <c r="G25" s="373">
        <f>SUM(G26:G28)</f>
        <v>59503503</v>
      </c>
      <c r="H25" s="373">
        <f t="shared" si="11"/>
        <v>0</v>
      </c>
      <c r="I25" s="373">
        <f t="shared" si="11"/>
        <v>0</v>
      </c>
      <c r="J25" s="373">
        <f t="shared" si="11"/>
        <v>0</v>
      </c>
      <c r="K25" s="797" t="e">
        <f>I25/H25</f>
        <v>#DIV/0!</v>
      </c>
      <c r="L25" s="373">
        <f aca="true" t="shared" si="12" ref="L25:Q25">SUM(L26:L28)</f>
        <v>87607657</v>
      </c>
      <c r="M25" s="373">
        <f t="shared" si="12"/>
        <v>58656600</v>
      </c>
      <c r="N25" s="373">
        <f>SUM(N26:N28)</f>
        <v>59503503</v>
      </c>
      <c r="O25" s="373">
        <f t="shared" si="12"/>
        <v>0</v>
      </c>
      <c r="P25" s="373">
        <f t="shared" si="12"/>
        <v>0</v>
      </c>
      <c r="Q25" s="373">
        <f t="shared" si="12"/>
        <v>0</v>
      </c>
      <c r="R25" s="797" t="e">
        <f>P25/O25</f>
        <v>#DIV/0!</v>
      </c>
      <c r="S25" s="373">
        <f aca="true" t="shared" si="13" ref="S25:X25">SUM(S26:S28)</f>
        <v>0</v>
      </c>
      <c r="T25" s="373">
        <f>SUM(T26:T28)</f>
        <v>0</v>
      </c>
      <c r="U25" s="373">
        <f>SUM(U26:U28)</f>
        <v>0</v>
      </c>
      <c r="V25" s="79">
        <f t="shared" si="13"/>
        <v>0</v>
      </c>
      <c r="W25" s="79">
        <f t="shared" si="13"/>
        <v>0</v>
      </c>
      <c r="X25" s="79">
        <f t="shared" si="13"/>
        <v>0</v>
      </c>
      <c r="Y25" s="797"/>
      <c r="Z25" s="79">
        <f>SUM(Z26:Z28)</f>
        <v>0</v>
      </c>
    </row>
    <row r="26" spans="1:26" s="5" customFormat="1" ht="22.5" customHeight="1">
      <c r="A26" s="114"/>
      <c r="B26" s="119" t="s">
        <v>45</v>
      </c>
      <c r="C26" s="1167" t="s">
        <v>3</v>
      </c>
      <c r="D26" s="1167"/>
      <c r="E26" s="372">
        <v>87607657</v>
      </c>
      <c r="F26" s="372">
        <f>87607657-181057-28770000</f>
        <v>58656600</v>
      </c>
      <c r="G26" s="372">
        <f>87607657-181057-28770000+846903</f>
        <v>59503503</v>
      </c>
      <c r="H26" s="372"/>
      <c r="I26" s="372"/>
      <c r="J26" s="1011"/>
      <c r="K26" s="796"/>
      <c r="L26" s="372">
        <f>E26</f>
        <v>87607657</v>
      </c>
      <c r="M26" s="372">
        <f>F26</f>
        <v>58656600</v>
      </c>
      <c r="N26" s="372">
        <f>G26</f>
        <v>59503503</v>
      </c>
      <c r="O26" s="372"/>
      <c r="P26" s="372"/>
      <c r="Q26" s="372">
        <f>J26-X26</f>
        <v>0</v>
      </c>
      <c r="R26" s="796" t="e">
        <f>P26/O26</f>
        <v>#DIV/0!</v>
      </c>
      <c r="S26" s="372">
        <v>0</v>
      </c>
      <c r="T26" s="372">
        <v>0</v>
      </c>
      <c r="U26" s="372">
        <v>0</v>
      </c>
      <c r="V26" s="302">
        <v>0</v>
      </c>
      <c r="W26" s="302">
        <v>0</v>
      </c>
      <c r="X26" s="302">
        <v>0</v>
      </c>
      <c r="Y26" s="796"/>
      <c r="Z26" s="302">
        <v>0</v>
      </c>
    </row>
    <row r="27" spans="1:26" s="8" customFormat="1" ht="22.5" customHeight="1">
      <c r="A27" s="128"/>
      <c r="B27" s="106" t="s">
        <v>46</v>
      </c>
      <c r="C27" s="1166" t="s">
        <v>300</v>
      </c>
      <c r="D27" s="1166"/>
      <c r="E27" s="367">
        <v>0</v>
      </c>
      <c r="F27" s="367">
        <v>0</v>
      </c>
      <c r="G27" s="367">
        <v>0</v>
      </c>
      <c r="H27" s="367">
        <v>0</v>
      </c>
      <c r="I27" s="367">
        <v>0</v>
      </c>
      <c r="J27" s="1013"/>
      <c r="K27" s="971"/>
      <c r="L27" s="367">
        <v>0</v>
      </c>
      <c r="M27" s="367">
        <v>0</v>
      </c>
      <c r="N27" s="367">
        <v>0</v>
      </c>
      <c r="O27" s="299">
        <v>0</v>
      </c>
      <c r="P27" s="299">
        <v>0</v>
      </c>
      <c r="Q27" s="299">
        <v>0</v>
      </c>
      <c r="R27" s="971"/>
      <c r="S27" s="367">
        <v>0</v>
      </c>
      <c r="T27" s="367">
        <v>0</v>
      </c>
      <c r="U27" s="367">
        <v>0</v>
      </c>
      <c r="V27" s="299">
        <v>0</v>
      </c>
      <c r="W27" s="299">
        <v>0</v>
      </c>
      <c r="X27" s="299">
        <v>0</v>
      </c>
      <c r="Y27" s="971"/>
      <c r="Z27" s="299">
        <v>0</v>
      </c>
    </row>
    <row r="28" spans="1:26" s="8" customFormat="1" ht="22.5" customHeight="1" thickBot="1">
      <c r="A28" s="134"/>
      <c r="B28" s="120" t="s">
        <v>72</v>
      </c>
      <c r="C28" s="135" t="s">
        <v>105</v>
      </c>
      <c r="D28" s="135"/>
      <c r="E28" s="387">
        <v>0</v>
      </c>
      <c r="F28" s="387">
        <v>0</v>
      </c>
      <c r="G28" s="387">
        <v>0</v>
      </c>
      <c r="H28" s="387">
        <v>0</v>
      </c>
      <c r="I28" s="387">
        <v>0</v>
      </c>
      <c r="J28" s="1016"/>
      <c r="K28" s="973"/>
      <c r="L28" s="387">
        <v>0</v>
      </c>
      <c r="M28" s="387">
        <v>0</v>
      </c>
      <c r="N28" s="387">
        <v>0</v>
      </c>
      <c r="O28" s="388">
        <v>0</v>
      </c>
      <c r="P28" s="388">
        <v>0</v>
      </c>
      <c r="Q28" s="388">
        <v>0</v>
      </c>
      <c r="R28" s="973"/>
      <c r="S28" s="387">
        <v>0</v>
      </c>
      <c r="T28" s="387">
        <v>0</v>
      </c>
      <c r="U28" s="387">
        <v>0</v>
      </c>
      <c r="V28" s="388">
        <v>0</v>
      </c>
      <c r="W28" s="388">
        <v>0</v>
      </c>
      <c r="X28" s="388">
        <v>0</v>
      </c>
      <c r="Y28" s="973"/>
      <c r="Z28" s="388">
        <v>0</v>
      </c>
    </row>
    <row r="29" spans="1:26" s="80" customFormat="1" ht="22.5" customHeight="1" thickBot="1">
      <c r="A29" s="95" t="s">
        <v>11</v>
      </c>
      <c r="B29" s="121" t="s">
        <v>106</v>
      </c>
      <c r="C29" s="121"/>
      <c r="D29" s="121"/>
      <c r="E29" s="374">
        <v>0</v>
      </c>
      <c r="F29" s="374">
        <v>0</v>
      </c>
      <c r="G29" s="374">
        <v>0</v>
      </c>
      <c r="H29" s="374">
        <v>0</v>
      </c>
      <c r="I29" s="374">
        <v>0</v>
      </c>
      <c r="J29" s="1017"/>
      <c r="K29" s="798"/>
      <c r="L29" s="374">
        <v>0</v>
      </c>
      <c r="M29" s="374">
        <v>0</v>
      </c>
      <c r="N29" s="374">
        <v>0</v>
      </c>
      <c r="O29" s="375">
        <v>0</v>
      </c>
      <c r="P29" s="375">
        <v>0</v>
      </c>
      <c r="Q29" s="375">
        <v>0</v>
      </c>
      <c r="R29" s="798"/>
      <c r="S29" s="374">
        <v>0</v>
      </c>
      <c r="T29" s="374">
        <v>0</v>
      </c>
      <c r="U29" s="374">
        <v>0</v>
      </c>
      <c r="V29" s="375">
        <v>0</v>
      </c>
      <c r="W29" s="375">
        <v>0</v>
      </c>
      <c r="X29" s="375">
        <v>0</v>
      </c>
      <c r="Y29" s="798"/>
      <c r="Z29" s="375">
        <v>0</v>
      </c>
    </row>
    <row r="30" spans="1:26" s="80" customFormat="1" ht="22.5" customHeight="1" hidden="1" thickBot="1">
      <c r="A30" s="115"/>
      <c r="B30" s="1162"/>
      <c r="C30" s="1162"/>
      <c r="D30" s="1162"/>
      <c r="E30" s="832"/>
      <c r="F30" s="832"/>
      <c r="G30" s="832"/>
      <c r="H30" s="832"/>
      <c r="I30" s="832"/>
      <c r="J30" s="1018"/>
      <c r="K30" s="974"/>
      <c r="L30" s="832"/>
      <c r="M30" s="832"/>
      <c r="N30" s="832"/>
      <c r="O30" s="833"/>
      <c r="P30" s="833"/>
      <c r="Q30" s="833"/>
      <c r="R30" s="974"/>
      <c r="S30" s="832"/>
      <c r="T30" s="832"/>
      <c r="U30" s="832"/>
      <c r="V30" s="833">
        <v>0</v>
      </c>
      <c r="W30" s="833">
        <v>0</v>
      </c>
      <c r="X30" s="833">
        <v>0</v>
      </c>
      <c r="Y30" s="974"/>
      <c r="Z30" s="300">
        <v>0</v>
      </c>
    </row>
    <row r="31" spans="1:26" s="80" customFormat="1" ht="22.5" customHeight="1" thickBot="1">
      <c r="A31" s="115" t="s">
        <v>12</v>
      </c>
      <c r="B31" s="1131" t="s">
        <v>107</v>
      </c>
      <c r="C31" s="1131"/>
      <c r="D31" s="1131"/>
      <c r="E31" s="371">
        <f aca="true" t="shared" si="14" ref="E31:J31">E6+E17+E25+E29</f>
        <v>386561418</v>
      </c>
      <c r="F31" s="371">
        <f>F6+F17+F25+F29</f>
        <v>357791418</v>
      </c>
      <c r="G31" s="371">
        <f>G6+G17+G25+G29</f>
        <v>357124182</v>
      </c>
      <c r="H31" s="371">
        <f t="shared" si="14"/>
        <v>0</v>
      </c>
      <c r="I31" s="371">
        <f t="shared" si="14"/>
        <v>0</v>
      </c>
      <c r="J31" s="371">
        <f t="shared" si="14"/>
        <v>0</v>
      </c>
      <c r="K31" s="795" t="e">
        <f>I31/H31</f>
        <v>#DIV/0!</v>
      </c>
      <c r="L31" s="371">
        <f aca="true" t="shared" si="15" ref="L31:Q31">L6+L17+L25</f>
        <v>365913625</v>
      </c>
      <c r="M31" s="371">
        <f>M6+M17+M25</f>
        <v>337143625</v>
      </c>
      <c r="N31" s="371">
        <f>N6+N17+N25</f>
        <v>336466389</v>
      </c>
      <c r="O31" s="371">
        <f t="shared" si="15"/>
        <v>0</v>
      </c>
      <c r="P31" s="371">
        <f t="shared" si="15"/>
        <v>0</v>
      </c>
      <c r="Q31" s="371">
        <f t="shared" si="15"/>
        <v>0</v>
      </c>
      <c r="R31" s="795" t="e">
        <f>P31/O31</f>
        <v>#DIV/0!</v>
      </c>
      <c r="S31" s="371">
        <f>S6+S17+S25+S29+S35</f>
        <v>20647793</v>
      </c>
      <c r="T31" s="371">
        <f>T6+T17+T25+T29+T35</f>
        <v>20647793</v>
      </c>
      <c r="U31" s="371">
        <f>U6+U17+U25+U29+U35</f>
        <v>20657793</v>
      </c>
      <c r="V31" s="300">
        <f>V6+V17+V25+V29+V30</f>
        <v>0</v>
      </c>
      <c r="W31" s="300">
        <f>W6+W17+W25+W29+W30</f>
        <v>0</v>
      </c>
      <c r="X31" s="300">
        <f>X6+X17+X25+X29+X30</f>
        <v>0</v>
      </c>
      <c r="Y31" s="795" t="e">
        <f>W31/V31</f>
        <v>#DIV/0!</v>
      </c>
      <c r="Z31" s="300">
        <f>Z6+Z17+Z25+Z29+Z30</f>
        <v>0</v>
      </c>
    </row>
    <row r="32" spans="1:26" s="80" customFormat="1" ht="22.5" customHeight="1" thickBot="1">
      <c r="A32" s="93" t="s">
        <v>13</v>
      </c>
      <c r="B32" s="1169" t="s">
        <v>108</v>
      </c>
      <c r="C32" s="1169"/>
      <c r="D32" s="1169"/>
      <c r="E32" s="376">
        <f>SUM(E33:E36)</f>
        <v>196471497</v>
      </c>
      <c r="F32" s="376">
        <f>SUM(F33:F36)</f>
        <v>225241497</v>
      </c>
      <c r="G32" s="376">
        <f>SUM(G33:G36)</f>
        <v>225243997</v>
      </c>
      <c r="H32" s="376">
        <f aca="true" t="shared" si="16" ref="H32:Q32">SUM(H33:H36)</f>
        <v>0</v>
      </c>
      <c r="I32" s="376">
        <f t="shared" si="16"/>
        <v>0</v>
      </c>
      <c r="J32" s="376">
        <f t="shared" si="16"/>
        <v>0</v>
      </c>
      <c r="K32" s="376">
        <f t="shared" si="16"/>
        <v>0</v>
      </c>
      <c r="L32" s="376">
        <f t="shared" si="16"/>
        <v>196471497</v>
      </c>
      <c r="M32" s="376">
        <f>SUM(M33:M36)</f>
        <v>225241497</v>
      </c>
      <c r="N32" s="376">
        <f>SUM(N33:N36)</f>
        <v>225243997</v>
      </c>
      <c r="O32" s="376">
        <f t="shared" si="16"/>
        <v>0</v>
      </c>
      <c r="P32" s="376">
        <f t="shared" si="16"/>
        <v>0</v>
      </c>
      <c r="Q32" s="376">
        <f t="shared" si="16"/>
        <v>0</v>
      </c>
      <c r="R32" s="975" t="e">
        <f>P32/O32</f>
        <v>#DIV/0!</v>
      </c>
      <c r="S32" s="376">
        <f>SUM(S33:S35)</f>
        <v>0</v>
      </c>
      <c r="T32" s="376">
        <f>SUM(T33:T35)</f>
        <v>0</v>
      </c>
      <c r="U32" s="376">
        <f>SUM(U33:U35)</f>
        <v>0</v>
      </c>
      <c r="V32" s="118"/>
      <c r="W32" s="118"/>
      <c r="X32" s="118"/>
      <c r="Y32" s="975"/>
      <c r="Z32" s="118"/>
    </row>
    <row r="33" spans="1:26" s="5" customFormat="1" ht="22.5" customHeight="1">
      <c r="A33" s="137"/>
      <c r="B33" s="119" t="s">
        <v>49</v>
      </c>
      <c r="C33" s="1185" t="s">
        <v>302</v>
      </c>
      <c r="D33" s="1185"/>
      <c r="E33" s="372"/>
      <c r="F33" s="372"/>
      <c r="G33" s="372"/>
      <c r="H33" s="372"/>
      <c r="I33" s="372"/>
      <c r="J33" s="1011"/>
      <c r="K33" s="796"/>
      <c r="L33" s="372"/>
      <c r="M33" s="372"/>
      <c r="N33" s="372"/>
      <c r="O33" s="302"/>
      <c r="P33" s="302"/>
      <c r="Q33" s="302"/>
      <c r="R33" s="796"/>
      <c r="S33" s="372"/>
      <c r="T33" s="372"/>
      <c r="U33" s="372"/>
      <c r="V33" s="302"/>
      <c r="W33" s="302"/>
      <c r="X33" s="302"/>
      <c r="Y33" s="796"/>
      <c r="Z33" s="302"/>
    </row>
    <row r="34" spans="1:26" s="5" customFormat="1" ht="22.5" customHeight="1">
      <c r="A34" s="97"/>
      <c r="B34" s="106" t="s">
        <v>347</v>
      </c>
      <c r="C34" s="1168" t="s">
        <v>589</v>
      </c>
      <c r="D34" s="1168"/>
      <c r="E34" s="420"/>
      <c r="F34" s="420">
        <v>28770000</v>
      </c>
      <c r="G34" s="420">
        <v>28770000</v>
      </c>
      <c r="H34" s="420"/>
      <c r="I34" s="420"/>
      <c r="J34" s="1012"/>
      <c r="K34" s="970"/>
      <c r="L34" s="420"/>
      <c r="M34" s="420">
        <v>28770000</v>
      </c>
      <c r="N34" s="420">
        <v>28770000</v>
      </c>
      <c r="O34" s="421"/>
      <c r="P34" s="421"/>
      <c r="Q34" s="421"/>
      <c r="R34" s="970"/>
      <c r="S34" s="420"/>
      <c r="T34" s="420"/>
      <c r="U34" s="420"/>
      <c r="V34" s="421"/>
      <c r="W34" s="421"/>
      <c r="X34" s="421"/>
      <c r="Y34" s="970"/>
      <c r="Z34" s="136"/>
    </row>
    <row r="35" spans="1:26" s="5" customFormat="1" ht="22.5" customHeight="1" thickBot="1">
      <c r="A35" s="668"/>
      <c r="B35" s="669" t="s">
        <v>505</v>
      </c>
      <c r="C35" s="670" t="s">
        <v>301</v>
      </c>
      <c r="D35" s="670"/>
      <c r="E35" s="671">
        <v>187507276</v>
      </c>
      <c r="F35" s="671">
        <v>187507276</v>
      </c>
      <c r="G35" s="671">
        <f>187507276+2500</f>
        <v>187509776</v>
      </c>
      <c r="H35" s="671"/>
      <c r="I35" s="671"/>
      <c r="J35" s="1019"/>
      <c r="K35" s="976"/>
      <c r="L35" s="671">
        <f aca="true" t="shared" si="17" ref="L35:N36">E35</f>
        <v>187507276</v>
      </c>
      <c r="M35" s="671">
        <f t="shared" si="17"/>
        <v>187507276</v>
      </c>
      <c r="N35" s="671">
        <f t="shared" si="17"/>
        <v>187509776</v>
      </c>
      <c r="O35" s="671"/>
      <c r="P35" s="671"/>
      <c r="Q35" s="671"/>
      <c r="R35" s="976" t="e">
        <f>P35/O35</f>
        <v>#DIV/0!</v>
      </c>
      <c r="S35" s="671">
        <v>0</v>
      </c>
      <c r="T35" s="671">
        <v>0</v>
      </c>
      <c r="U35" s="671">
        <v>0</v>
      </c>
      <c r="V35" s="680"/>
      <c r="W35" s="680"/>
      <c r="X35" s="680"/>
      <c r="Y35" s="976"/>
      <c r="Z35" s="423"/>
    </row>
    <row r="36" spans="1:26" s="5" customFormat="1" ht="22.5" customHeight="1" thickBot="1">
      <c r="A36" s="668"/>
      <c r="B36" s="669" t="s">
        <v>585</v>
      </c>
      <c r="C36" s="670" t="s">
        <v>504</v>
      </c>
      <c r="D36" s="670"/>
      <c r="E36" s="671">
        <v>8964221</v>
      </c>
      <c r="F36" s="671">
        <v>8964221</v>
      </c>
      <c r="G36" s="671">
        <v>8964221</v>
      </c>
      <c r="H36" s="671"/>
      <c r="I36" s="671"/>
      <c r="J36" s="1019"/>
      <c r="K36" s="976"/>
      <c r="L36" s="671">
        <f t="shared" si="17"/>
        <v>8964221</v>
      </c>
      <c r="M36" s="671">
        <f t="shared" si="17"/>
        <v>8964221</v>
      </c>
      <c r="N36" s="671">
        <f t="shared" si="17"/>
        <v>8964221</v>
      </c>
      <c r="O36" s="671"/>
      <c r="P36" s="671"/>
      <c r="Q36" s="671"/>
      <c r="R36" s="976" t="e">
        <f>P36/O36</f>
        <v>#DIV/0!</v>
      </c>
      <c r="S36" s="671"/>
      <c r="T36" s="671"/>
      <c r="U36" s="671"/>
      <c r="V36" s="680"/>
      <c r="W36" s="680"/>
      <c r="X36" s="680"/>
      <c r="Y36" s="976"/>
      <c r="Z36" s="423"/>
    </row>
    <row r="37" spans="1:26" s="5" customFormat="1" ht="22.5" customHeight="1" thickBot="1">
      <c r="A37" s="115" t="s">
        <v>586</v>
      </c>
      <c r="B37" s="1131" t="s">
        <v>252</v>
      </c>
      <c r="C37" s="1131"/>
      <c r="D37" s="1131"/>
      <c r="E37" s="373">
        <f aca="true" t="shared" si="18" ref="E37:J37">E31+E32</f>
        <v>583032915</v>
      </c>
      <c r="F37" s="373">
        <f>F31+F32</f>
        <v>583032915</v>
      </c>
      <c r="G37" s="373">
        <f>G31+G32</f>
        <v>582368179</v>
      </c>
      <c r="H37" s="373">
        <f t="shared" si="18"/>
        <v>0</v>
      </c>
      <c r="I37" s="373">
        <f t="shared" si="18"/>
        <v>0</v>
      </c>
      <c r="J37" s="373">
        <f t="shared" si="18"/>
        <v>0</v>
      </c>
      <c r="K37" s="797" t="e">
        <f>I37/H37</f>
        <v>#DIV/0!</v>
      </c>
      <c r="L37" s="373">
        <f aca="true" t="shared" si="19" ref="L37:Q37">L31+L32</f>
        <v>562385122</v>
      </c>
      <c r="M37" s="373">
        <f>M31+M32</f>
        <v>562385122</v>
      </c>
      <c r="N37" s="373">
        <f>N31+N32</f>
        <v>561710386</v>
      </c>
      <c r="O37" s="79">
        <f t="shared" si="19"/>
        <v>0</v>
      </c>
      <c r="P37" s="79">
        <f t="shared" si="19"/>
        <v>0</v>
      </c>
      <c r="Q37" s="79">
        <f t="shared" si="19"/>
        <v>0</v>
      </c>
      <c r="R37" s="797" t="e">
        <f>P37/O37</f>
        <v>#DIV/0!</v>
      </c>
      <c r="S37" s="373">
        <f aca="true" t="shared" si="20" ref="S37:X37">S31+S32</f>
        <v>20647793</v>
      </c>
      <c r="T37" s="373">
        <f>T31+T32</f>
        <v>20647793</v>
      </c>
      <c r="U37" s="373">
        <f>U31+U32</f>
        <v>20657793</v>
      </c>
      <c r="V37" s="79">
        <f t="shared" si="20"/>
        <v>0</v>
      </c>
      <c r="W37" s="79">
        <f t="shared" si="20"/>
        <v>0</v>
      </c>
      <c r="X37" s="79">
        <f t="shared" si="20"/>
        <v>0</v>
      </c>
      <c r="Y37" s="797" t="e">
        <f>W37/V37</f>
        <v>#DIV/0!</v>
      </c>
      <c r="Z37" s="396">
        <f>Z31+Z32</f>
        <v>0</v>
      </c>
    </row>
    <row r="38" spans="1:25" s="5" customFormat="1" ht="19.5" customHeight="1" hidden="1" thickBot="1">
      <c r="A38" s="1126" t="s">
        <v>253</v>
      </c>
      <c r="B38" s="1127"/>
      <c r="C38" s="1127"/>
      <c r="D38" s="1127"/>
      <c r="E38" s="605"/>
      <c r="F38" s="605"/>
      <c r="G38" s="605"/>
      <c r="H38" s="606"/>
      <c r="I38" s="606"/>
      <c r="J38" s="606"/>
      <c r="K38" s="607" t="e">
        <f>I38/H38</f>
        <v>#DIV/0!</v>
      </c>
      <c r="L38" s="605"/>
      <c r="M38" s="605"/>
      <c r="N38" s="605"/>
      <c r="O38" s="606"/>
      <c r="P38" s="606"/>
      <c r="Q38" s="606"/>
      <c r="R38" s="607" t="e">
        <f>P38/O38</f>
        <v>#DIV/0!</v>
      </c>
      <c r="S38" s="605"/>
      <c r="T38" s="605"/>
      <c r="U38" s="605"/>
      <c r="V38" s="606"/>
      <c r="W38" s="606"/>
      <c r="X38" s="606"/>
      <c r="Y38" s="607" t="e">
        <f>W38/V38</f>
        <v>#DIV/0!</v>
      </c>
    </row>
    <row r="39" spans="1:25" s="5" customFormat="1" ht="19.5" customHeight="1" thickBot="1">
      <c r="A39" s="1130" t="s">
        <v>8</v>
      </c>
      <c r="B39" s="1131"/>
      <c r="C39" s="1131"/>
      <c r="D39" s="1131"/>
      <c r="E39" s="425">
        <f aca="true" t="shared" si="21" ref="E39:J39">SUM(E37:E38)</f>
        <v>583032915</v>
      </c>
      <c r="F39" s="425">
        <f>SUM(F37:F38)</f>
        <v>583032915</v>
      </c>
      <c r="G39" s="425">
        <f>SUM(G37:G38)</f>
        <v>582368179</v>
      </c>
      <c r="H39" s="426">
        <f t="shared" si="21"/>
        <v>0</v>
      </c>
      <c r="I39" s="426">
        <f t="shared" si="21"/>
        <v>0</v>
      </c>
      <c r="J39" s="426">
        <f t="shared" si="21"/>
        <v>0</v>
      </c>
      <c r="K39" s="427" t="e">
        <f>I39/H39</f>
        <v>#DIV/0!</v>
      </c>
      <c r="L39" s="425">
        <f aca="true" t="shared" si="22" ref="L39:Q39">SUM(L37:L38)</f>
        <v>562385122</v>
      </c>
      <c r="M39" s="425">
        <f>SUM(M37:M38)</f>
        <v>562385122</v>
      </c>
      <c r="N39" s="425">
        <f>SUM(N37:N38)</f>
        <v>561710386</v>
      </c>
      <c r="O39" s="426">
        <f t="shared" si="22"/>
        <v>0</v>
      </c>
      <c r="P39" s="426">
        <f t="shared" si="22"/>
        <v>0</v>
      </c>
      <c r="Q39" s="426">
        <f t="shared" si="22"/>
        <v>0</v>
      </c>
      <c r="R39" s="427" t="e">
        <f>P39/O39</f>
        <v>#DIV/0!</v>
      </c>
      <c r="S39" s="425">
        <f aca="true" t="shared" si="23" ref="S39:X39">SUM(S37:S38)</f>
        <v>20647793</v>
      </c>
      <c r="T39" s="425">
        <f>SUM(T37:T38)</f>
        <v>20647793</v>
      </c>
      <c r="U39" s="425">
        <f>SUM(U37:U38)</f>
        <v>20657793</v>
      </c>
      <c r="V39" s="426">
        <f t="shared" si="23"/>
        <v>0</v>
      </c>
      <c r="W39" s="426">
        <f t="shared" si="23"/>
        <v>0</v>
      </c>
      <c r="X39" s="426">
        <f t="shared" si="23"/>
        <v>0</v>
      </c>
      <c r="Y39" s="427" t="e">
        <f>W39/V39</f>
        <v>#DIV/0!</v>
      </c>
    </row>
    <row r="40" spans="1:25" s="5" customFormat="1" ht="19.5" customHeight="1">
      <c r="A40" s="486"/>
      <c r="B40" s="612"/>
      <c r="C40" s="486"/>
      <c r="D40" s="486"/>
      <c r="E40" s="613"/>
      <c r="F40" s="613"/>
      <c r="G40" s="613"/>
      <c r="H40" s="613"/>
      <c r="I40" s="613"/>
      <c r="J40" s="613"/>
      <c r="K40" s="613"/>
      <c r="L40" s="614"/>
      <c r="M40" s="614"/>
      <c r="N40" s="614"/>
      <c r="O40" s="614"/>
      <c r="P40" s="614"/>
      <c r="Q40" s="614"/>
      <c r="R40" s="614"/>
      <c r="S40" s="614"/>
      <c r="T40" s="614"/>
      <c r="U40" s="615"/>
      <c r="V40" s="615"/>
      <c r="W40" s="615"/>
      <c r="X40" s="615"/>
      <c r="Y40" s="615"/>
    </row>
    <row r="41" spans="1:20" s="5" customFormat="1" ht="19.5" customHeight="1">
      <c r="A41" s="65"/>
      <c r="B41" s="68"/>
      <c r="C41" s="68"/>
      <c r="D41" s="30"/>
      <c r="E41" s="6"/>
      <c r="F41" s="6"/>
      <c r="G41" s="6"/>
      <c r="H41" s="6"/>
      <c r="I41" s="6"/>
      <c r="J41" s="6"/>
      <c r="K41" s="6"/>
      <c r="L41" s="139"/>
      <c r="M41" s="139"/>
      <c r="N41" s="139"/>
      <c r="O41" s="139"/>
      <c r="P41" s="139"/>
      <c r="Q41" s="139"/>
      <c r="R41" s="139" t="e">
        <f>R37+Z37</f>
        <v>#DIV/0!</v>
      </c>
      <c r="S41" s="139"/>
      <c r="T41" s="139"/>
    </row>
    <row r="42" spans="1:11" ht="15.75">
      <c r="A42" s="124"/>
      <c r="B42" s="64"/>
      <c r="C42" s="64"/>
      <c r="D42" s="30"/>
      <c r="E42" s="4"/>
      <c r="F42" s="4"/>
      <c r="G42" s="4"/>
      <c r="H42" s="4"/>
      <c r="I42" s="4"/>
      <c r="J42" s="4"/>
      <c r="K42" s="4"/>
    </row>
    <row r="43" spans="1:11" ht="15.75">
      <c r="A43" s="124"/>
      <c r="B43" s="64"/>
      <c r="C43" s="64"/>
      <c r="D43" s="30"/>
      <c r="E43" s="4"/>
      <c r="F43" s="4"/>
      <c r="G43" s="4"/>
      <c r="H43" s="4"/>
      <c r="I43" s="4"/>
      <c r="J43" s="4"/>
      <c r="K43" s="4"/>
    </row>
    <row r="44" spans="1:20" ht="15.75">
      <c r="A44" s="124"/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5.75">
      <c r="A45" s="124"/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5.75">
      <c r="A46" s="124"/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5.75">
      <c r="A47" s="124"/>
      <c r="B47" s="1"/>
      <c r="C47" s="1"/>
      <c r="D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5.75">
      <c r="A48" s="124"/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5.75">
      <c r="A49" s="124"/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5.75">
      <c r="A50" s="124"/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  <row r="51" spans="1:11" ht="15.75">
      <c r="A51" s="124"/>
      <c r="B51" s="64"/>
      <c r="C51" s="64"/>
      <c r="D51" s="30"/>
      <c r="E51" s="3"/>
      <c r="F51" s="3"/>
      <c r="G51" s="3"/>
      <c r="H51" s="3"/>
      <c r="I51" s="3"/>
      <c r="J51" s="3"/>
      <c r="K51" s="3"/>
    </row>
    <row r="52" spans="1:11" ht="15.75">
      <c r="A52" s="124"/>
      <c r="B52" s="64"/>
      <c r="C52" s="64"/>
      <c r="D52" s="30"/>
      <c r="E52" s="3"/>
      <c r="F52" s="3"/>
      <c r="G52" s="3"/>
      <c r="H52" s="3"/>
      <c r="I52" s="3"/>
      <c r="J52" s="3"/>
      <c r="K52" s="3"/>
    </row>
    <row r="53" spans="1:11" ht="15.75">
      <c r="A53" s="124"/>
      <c r="B53" s="64"/>
      <c r="C53" s="64"/>
      <c r="D53" s="30"/>
      <c r="E53" s="3"/>
      <c r="F53" s="3"/>
      <c r="G53" s="3"/>
      <c r="H53" s="3"/>
      <c r="I53" s="3"/>
      <c r="J53" s="3"/>
      <c r="K53" s="3"/>
    </row>
    <row r="54" spans="1:11" ht="15.75">
      <c r="A54" s="124"/>
      <c r="B54" s="64"/>
      <c r="C54" s="64"/>
      <c r="D54" s="30"/>
      <c r="E54" s="3"/>
      <c r="F54" s="3"/>
      <c r="G54" s="3"/>
      <c r="H54" s="3"/>
      <c r="I54" s="3"/>
      <c r="J54" s="3"/>
      <c r="K54" s="3"/>
    </row>
    <row r="55" spans="1:11" ht="15.75">
      <c r="A55" s="124"/>
      <c r="B55" s="64"/>
      <c r="C55" s="64"/>
      <c r="D55" s="30"/>
      <c r="E55" s="3"/>
      <c r="F55" s="3"/>
      <c r="G55" s="3"/>
      <c r="H55" s="3"/>
      <c r="I55" s="3"/>
      <c r="J55" s="3"/>
      <c r="K55" s="3"/>
    </row>
    <row r="56" spans="1:11" ht="15.75">
      <c r="A56" s="124"/>
      <c r="B56" s="64"/>
      <c r="C56" s="64"/>
      <c r="D56" s="30"/>
      <c r="E56" s="3"/>
      <c r="F56" s="3"/>
      <c r="G56" s="3"/>
      <c r="H56" s="3"/>
      <c r="I56" s="3"/>
      <c r="J56" s="3"/>
      <c r="K56" s="3"/>
    </row>
    <row r="57" spans="1:11" ht="15.75">
      <c r="A57" s="124"/>
      <c r="B57" s="64"/>
      <c r="C57" s="64"/>
      <c r="D57" s="30"/>
      <c r="E57" s="3"/>
      <c r="F57" s="3"/>
      <c r="G57" s="3"/>
      <c r="H57" s="3"/>
      <c r="I57" s="3"/>
      <c r="J57" s="3"/>
      <c r="K57" s="3"/>
    </row>
    <row r="58" spans="1:11" ht="15.75">
      <c r="A58" s="124"/>
      <c r="B58" s="64"/>
      <c r="C58" s="64"/>
      <c r="D58" s="30"/>
      <c r="E58" s="3"/>
      <c r="F58" s="3"/>
      <c r="G58" s="3"/>
      <c r="H58" s="3"/>
      <c r="I58" s="3"/>
      <c r="J58" s="3"/>
      <c r="K58" s="3"/>
    </row>
    <row r="59" spans="1:11" ht="15.75">
      <c r="A59" s="124"/>
      <c r="B59" s="64"/>
      <c r="C59" s="64"/>
      <c r="D59" s="30"/>
      <c r="E59" s="3"/>
      <c r="F59" s="3"/>
      <c r="G59" s="3"/>
      <c r="H59" s="3"/>
      <c r="I59" s="3"/>
      <c r="J59" s="3"/>
      <c r="K59" s="3"/>
    </row>
    <row r="60" spans="1:11" ht="15.75">
      <c r="A60" s="124"/>
      <c r="B60" s="64"/>
      <c r="C60" s="64"/>
      <c r="D60" s="30"/>
      <c r="E60" s="3"/>
      <c r="F60" s="3"/>
      <c r="G60" s="3"/>
      <c r="H60" s="3"/>
      <c r="I60" s="3"/>
      <c r="J60" s="3"/>
      <c r="K60" s="3"/>
    </row>
  </sheetData>
  <sheetProtection/>
  <mergeCells count="20">
    <mergeCell ref="A2:S2"/>
    <mergeCell ref="E1:S1"/>
    <mergeCell ref="B37:D37"/>
    <mergeCell ref="C27:D27"/>
    <mergeCell ref="B30:D30"/>
    <mergeCell ref="B31:D31"/>
    <mergeCell ref="B32:D32"/>
    <mergeCell ref="C33:D33"/>
    <mergeCell ref="C34:D34"/>
    <mergeCell ref="C18:D18"/>
    <mergeCell ref="A38:D38"/>
    <mergeCell ref="A39:D39"/>
    <mergeCell ref="S4:Y4"/>
    <mergeCell ref="C26:D26"/>
    <mergeCell ref="B25:D25"/>
    <mergeCell ref="C19:D19"/>
    <mergeCell ref="C20:D20"/>
    <mergeCell ref="B17:D17"/>
    <mergeCell ref="B6:D6"/>
    <mergeCell ref="A4:D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2"/>
  <sheetViews>
    <sheetView view="pageBreakPreview" zoomScale="60" zoomScaleNormal="110" zoomScalePageLayoutView="0" workbookViewId="0" topLeftCell="A1">
      <selection activeCell="F15" sqref="F15"/>
    </sheetView>
  </sheetViews>
  <sheetFormatPr defaultColWidth="9.140625" defaultRowHeight="12.75"/>
  <cols>
    <col min="1" max="1" width="4.28125" style="226" customWidth="1"/>
    <col min="2" max="2" width="4.7109375" style="159" customWidth="1"/>
    <col min="3" max="3" width="45.421875" style="159" customWidth="1"/>
    <col min="4" max="4" width="11.140625" style="159" customWidth="1"/>
    <col min="5" max="5" width="10.57421875" style="159" customWidth="1"/>
    <col min="6" max="6" width="10.421875" style="159" customWidth="1"/>
    <col min="7" max="9" width="8.28125" style="159" hidden="1" customWidth="1"/>
    <col min="10" max="10" width="9.8515625" style="159" hidden="1" customWidth="1"/>
    <col min="11" max="11" width="8.28125" style="159" hidden="1" customWidth="1"/>
    <col min="12" max="12" width="12.8515625" style="159" customWidth="1"/>
    <col min="13" max="13" width="11.00390625" style="159" customWidth="1"/>
    <col min="14" max="14" width="10.00390625" style="159" customWidth="1"/>
    <col min="15" max="15" width="8.28125" style="159" hidden="1" customWidth="1"/>
    <col min="16" max="17" width="10.28125" style="159" hidden="1" customWidth="1"/>
    <col min="18" max="18" width="9.8515625" style="159" hidden="1" customWidth="1"/>
    <col min="19" max="19" width="11.7109375" style="159" customWidth="1"/>
    <col min="20" max="20" width="9.140625" style="159" customWidth="1"/>
    <col min="21" max="21" width="9.421875" style="159" customWidth="1"/>
    <col min="22" max="22" width="6.7109375" style="159" hidden="1" customWidth="1"/>
    <col min="23" max="24" width="10.00390625" style="159" hidden="1" customWidth="1"/>
    <col min="25" max="27" width="9.140625" style="159" hidden="1" customWidth="1"/>
    <col min="28" max="16384" width="9.140625" style="159" customWidth="1"/>
  </cols>
  <sheetData>
    <row r="1" spans="1:19" s="151" customFormat="1" ht="21" customHeight="1">
      <c r="A1" s="147"/>
      <c r="B1" s="148"/>
      <c r="C1" s="1186" t="s">
        <v>202</v>
      </c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</row>
    <row r="2" spans="1:11" s="151" customFormat="1" ht="21" customHeight="1">
      <c r="A2" s="262"/>
      <c r="B2" s="148"/>
      <c r="C2" s="153"/>
      <c r="D2" s="152"/>
      <c r="E2" s="152"/>
      <c r="F2" s="152"/>
      <c r="G2" s="152"/>
      <c r="H2" s="152"/>
      <c r="I2" s="152"/>
      <c r="J2" s="152"/>
      <c r="K2" s="152"/>
    </row>
    <row r="3" spans="1:19" s="154" customFormat="1" ht="25.5" customHeight="1">
      <c r="A3" s="1189" t="s">
        <v>231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</row>
    <row r="4" spans="1:19" s="157" customFormat="1" ht="15.75" customHeight="1" thickBot="1">
      <c r="A4" s="155"/>
      <c r="B4" s="155"/>
      <c r="C4" s="155"/>
      <c r="S4" s="156" t="s">
        <v>543</v>
      </c>
    </row>
    <row r="5" spans="1:26" ht="36.75" customHeight="1" thickBot="1">
      <c r="A5" s="1187" t="s">
        <v>112</v>
      </c>
      <c r="B5" s="1188"/>
      <c r="C5" s="158" t="s">
        <v>113</v>
      </c>
      <c r="D5" s="1191" t="s">
        <v>5</v>
      </c>
      <c r="E5" s="1192"/>
      <c r="F5" s="1192"/>
      <c r="G5" s="1192"/>
      <c r="H5" s="1192"/>
      <c r="I5" s="1192"/>
      <c r="J5" s="1192"/>
      <c r="K5" s="1192"/>
      <c r="L5" s="1193" t="s">
        <v>110</v>
      </c>
      <c r="M5" s="1194"/>
      <c r="N5" s="1194"/>
      <c r="O5" s="1194"/>
      <c r="P5" s="1194"/>
      <c r="Q5" s="1191"/>
      <c r="R5" s="1191"/>
      <c r="S5" s="1193" t="s">
        <v>158</v>
      </c>
      <c r="T5" s="1194"/>
      <c r="U5" s="1194"/>
      <c r="V5" s="1194"/>
      <c r="W5" s="1194"/>
      <c r="X5" s="1194"/>
      <c r="Y5" s="1194"/>
      <c r="Z5" s="1195"/>
    </row>
    <row r="6" spans="1:27" ht="24.75" thickBot="1">
      <c r="A6" s="322"/>
      <c r="B6" s="323"/>
      <c r="C6" s="158"/>
      <c r="D6" s="158" t="s">
        <v>243</v>
      </c>
      <c r="E6" s="158" t="s">
        <v>241</v>
      </c>
      <c r="F6" s="158" t="s">
        <v>244</v>
      </c>
      <c r="G6" s="158" t="s">
        <v>247</v>
      </c>
      <c r="H6" s="158" t="s">
        <v>263</v>
      </c>
      <c r="I6" s="158" t="s">
        <v>269</v>
      </c>
      <c r="J6" s="158" t="s">
        <v>383</v>
      </c>
      <c r="K6" s="488" t="s">
        <v>269</v>
      </c>
      <c r="L6" s="517" t="s">
        <v>243</v>
      </c>
      <c r="M6" s="158" t="s">
        <v>241</v>
      </c>
      <c r="N6" s="158" t="s">
        <v>244</v>
      </c>
      <c r="O6" s="158" t="s">
        <v>247</v>
      </c>
      <c r="P6" s="158" t="s">
        <v>263</v>
      </c>
      <c r="Q6" s="158" t="s">
        <v>269</v>
      </c>
      <c r="R6" s="158" t="s">
        <v>383</v>
      </c>
      <c r="S6" s="517" t="s">
        <v>243</v>
      </c>
      <c r="T6" s="158" t="s">
        <v>241</v>
      </c>
      <c r="U6" s="158" t="s">
        <v>244</v>
      </c>
      <c r="V6" s="158" t="s">
        <v>247</v>
      </c>
      <c r="W6" s="158" t="s">
        <v>263</v>
      </c>
      <c r="X6" s="158" t="s">
        <v>269</v>
      </c>
      <c r="Y6" s="158" t="s">
        <v>383</v>
      </c>
      <c r="Z6" s="488" t="s">
        <v>251</v>
      </c>
      <c r="AA6" s="158" t="s">
        <v>269</v>
      </c>
    </row>
    <row r="7" spans="1:27" s="163" customFormat="1" ht="12.75" customHeight="1" thickBot="1">
      <c r="A7" s="160">
        <v>1</v>
      </c>
      <c r="B7" s="161">
        <v>2</v>
      </c>
      <c r="C7" s="161">
        <v>3</v>
      </c>
      <c r="D7" s="161">
        <v>4</v>
      </c>
      <c r="E7" s="161">
        <v>5</v>
      </c>
      <c r="F7" s="161">
        <v>6</v>
      </c>
      <c r="G7" s="161">
        <v>7</v>
      </c>
      <c r="H7" s="161">
        <v>8</v>
      </c>
      <c r="I7" s="161">
        <v>9</v>
      </c>
      <c r="J7" s="161">
        <v>9</v>
      </c>
      <c r="K7" s="162"/>
      <c r="L7" s="160">
        <v>6</v>
      </c>
      <c r="M7" s="161">
        <v>7</v>
      </c>
      <c r="N7" s="161">
        <v>12</v>
      </c>
      <c r="O7" s="161">
        <v>13</v>
      </c>
      <c r="P7" s="161">
        <v>14</v>
      </c>
      <c r="Q7" s="315">
        <v>15</v>
      </c>
      <c r="R7" s="315">
        <v>15</v>
      </c>
      <c r="S7" s="160">
        <v>8</v>
      </c>
      <c r="T7" s="161">
        <v>9</v>
      </c>
      <c r="U7" s="161">
        <v>18</v>
      </c>
      <c r="V7" s="161">
        <v>19</v>
      </c>
      <c r="W7" s="161">
        <v>20</v>
      </c>
      <c r="X7" s="161">
        <v>21</v>
      </c>
      <c r="Y7" s="161">
        <v>21</v>
      </c>
      <c r="Z7" s="162"/>
      <c r="AA7" s="161"/>
    </row>
    <row r="8" spans="1:27" s="163" customFormat="1" ht="15.75" customHeight="1" thickBot="1">
      <c r="A8" s="164"/>
      <c r="B8" s="165"/>
      <c r="C8" s="165" t="s">
        <v>114</v>
      </c>
      <c r="D8" s="292"/>
      <c r="E8" s="292"/>
      <c r="F8" s="228"/>
      <c r="G8" s="228"/>
      <c r="H8" s="228"/>
      <c r="I8" s="228"/>
      <c r="J8" s="228"/>
      <c r="K8" s="293"/>
      <c r="L8" s="494"/>
      <c r="M8" s="292"/>
      <c r="N8" s="228"/>
      <c r="O8" s="228"/>
      <c r="P8" s="228"/>
      <c r="Q8" s="316"/>
      <c r="R8" s="316"/>
      <c r="S8" s="494"/>
      <c r="T8" s="494"/>
      <c r="U8" s="228"/>
      <c r="V8" s="228"/>
      <c r="W8" s="228"/>
      <c r="X8" s="228"/>
      <c r="Y8" s="228"/>
      <c r="Z8" s="293"/>
      <c r="AA8" s="228"/>
    </row>
    <row r="9" spans="1:27" s="169" customFormat="1" ht="12" customHeight="1" thickBot="1">
      <c r="A9" s="160" t="s">
        <v>30</v>
      </c>
      <c r="B9" s="166"/>
      <c r="C9" s="167" t="s">
        <v>360</v>
      </c>
      <c r="D9" s="229"/>
      <c r="E9" s="229"/>
      <c r="F9" s="229">
        <f>SUM(F10:F12)</f>
        <v>7750</v>
      </c>
      <c r="G9" s="229"/>
      <c r="H9" s="229"/>
      <c r="I9" s="962"/>
      <c r="J9" s="410"/>
      <c r="K9" s="168"/>
      <c r="L9" s="495"/>
      <c r="M9" s="229"/>
      <c r="N9" s="229">
        <f>SUM(N10:N12)</f>
        <v>7750</v>
      </c>
      <c r="O9" s="229"/>
      <c r="P9" s="229"/>
      <c r="Q9" s="962"/>
      <c r="R9" s="410"/>
      <c r="S9" s="495"/>
      <c r="T9" s="495"/>
      <c r="U9" s="229"/>
      <c r="V9" s="229"/>
      <c r="W9" s="229"/>
      <c r="X9" s="229"/>
      <c r="Y9" s="229"/>
      <c r="Z9" s="168"/>
      <c r="AA9" s="229"/>
    </row>
    <row r="10" spans="1:27" s="169" customFormat="1" ht="12" customHeight="1">
      <c r="A10" s="170"/>
      <c r="B10" s="181" t="s">
        <v>39</v>
      </c>
      <c r="C10" s="1066" t="s">
        <v>602</v>
      </c>
      <c r="D10" s="1067"/>
      <c r="E10" s="1067"/>
      <c r="F10" s="1068">
        <v>3600</v>
      </c>
      <c r="G10" s="1067"/>
      <c r="H10" s="1067"/>
      <c r="I10" s="1069"/>
      <c r="J10" s="1070"/>
      <c r="K10" s="1071"/>
      <c r="L10" s="1072"/>
      <c r="M10" s="1067"/>
      <c r="N10" s="1068">
        <v>3600</v>
      </c>
      <c r="O10" s="1067"/>
      <c r="P10" s="1067"/>
      <c r="Q10" s="1069"/>
      <c r="R10" s="1070"/>
      <c r="S10" s="1072"/>
      <c r="T10" s="1072"/>
      <c r="U10" s="1067"/>
      <c r="V10" s="1063"/>
      <c r="W10" s="1063"/>
      <c r="X10" s="1063"/>
      <c r="Y10" s="1063"/>
      <c r="Z10" s="1064"/>
      <c r="AA10" s="1063"/>
    </row>
    <row r="11" spans="1:27" s="169" customFormat="1" ht="12" customHeight="1">
      <c r="A11" s="172"/>
      <c r="B11" s="171" t="s">
        <v>40</v>
      </c>
      <c r="C11" s="1073" t="s">
        <v>332</v>
      </c>
      <c r="D11" s="1074"/>
      <c r="E11" s="1074"/>
      <c r="F11" s="1075">
        <v>500</v>
      </c>
      <c r="G11" s="1074"/>
      <c r="H11" s="1074"/>
      <c r="I11" s="1076"/>
      <c r="J11" s="1077"/>
      <c r="K11" s="1078"/>
      <c r="L11" s="1079"/>
      <c r="M11" s="1074"/>
      <c r="N11" s="1075">
        <v>500</v>
      </c>
      <c r="O11" s="1074"/>
      <c r="P11" s="1074"/>
      <c r="Q11" s="1076"/>
      <c r="R11" s="1077"/>
      <c r="S11" s="1079"/>
      <c r="T11" s="1079"/>
      <c r="U11" s="1074"/>
      <c r="V11" s="1063"/>
      <c r="W11" s="1063"/>
      <c r="X11" s="1063"/>
      <c r="Y11" s="1063"/>
      <c r="Z11" s="1064"/>
      <c r="AA11" s="1063"/>
    </row>
    <row r="12" spans="1:27" s="169" customFormat="1" ht="12" customHeight="1" thickBot="1">
      <c r="A12" s="1080"/>
      <c r="B12" s="171" t="s">
        <v>41</v>
      </c>
      <c r="C12" s="1081" t="s">
        <v>603</v>
      </c>
      <c r="D12" s="1082"/>
      <c r="E12" s="1082"/>
      <c r="F12" s="1083">
        <v>3650</v>
      </c>
      <c r="G12" s="1082"/>
      <c r="H12" s="1082"/>
      <c r="I12" s="1084"/>
      <c r="J12" s="1085"/>
      <c r="K12" s="1086"/>
      <c r="L12" s="1087"/>
      <c r="M12" s="1082"/>
      <c r="N12" s="1083">
        <v>3650</v>
      </c>
      <c r="O12" s="1082"/>
      <c r="P12" s="1082"/>
      <c r="Q12" s="1084"/>
      <c r="R12" s="1085"/>
      <c r="S12" s="1087"/>
      <c r="T12" s="1087"/>
      <c r="U12" s="1082"/>
      <c r="V12" s="1063"/>
      <c r="W12" s="1063"/>
      <c r="X12" s="1063"/>
      <c r="Y12" s="1063"/>
      <c r="Z12" s="1064"/>
      <c r="AA12" s="1063"/>
    </row>
    <row r="13" spans="1:27" s="175" customFormat="1" ht="12" customHeight="1" hidden="1" thickBot="1">
      <c r="A13" s="176" t="s">
        <v>31</v>
      </c>
      <c r="B13" s="171"/>
      <c r="C13" s="1065" t="s">
        <v>120</v>
      </c>
      <c r="D13" s="239"/>
      <c r="E13" s="239"/>
      <c r="F13" s="239"/>
      <c r="G13" s="239"/>
      <c r="H13" s="239"/>
      <c r="I13" s="1004"/>
      <c r="J13" s="803" t="e">
        <f>H13/F13</f>
        <v>#DIV/0!</v>
      </c>
      <c r="K13" s="294"/>
      <c r="L13" s="496"/>
      <c r="M13" s="239"/>
      <c r="N13" s="239"/>
      <c r="O13" s="239"/>
      <c r="P13" s="239"/>
      <c r="Q13" s="1004"/>
      <c r="R13" s="803" t="e">
        <f>P13/N13</f>
        <v>#DIV/0!</v>
      </c>
      <c r="S13" s="496"/>
      <c r="T13" s="496"/>
      <c r="U13" s="239"/>
      <c r="V13" s="239"/>
      <c r="W13" s="239"/>
      <c r="X13" s="239"/>
      <c r="Y13" s="239"/>
      <c r="Z13" s="294"/>
      <c r="AA13" s="239"/>
    </row>
    <row r="14" spans="1:27" s="169" customFormat="1" ht="12" customHeight="1" thickBot="1">
      <c r="A14" s="160" t="s">
        <v>31</v>
      </c>
      <c r="B14" s="166"/>
      <c r="C14" s="167" t="s">
        <v>121</v>
      </c>
      <c r="D14" s="229">
        <f aca="true" t="shared" si="0" ref="D14:I14">SUM(D15:D18)</f>
        <v>393000</v>
      </c>
      <c r="E14" s="229">
        <f>SUM(E15:E18)</f>
        <v>393000</v>
      </c>
      <c r="F14" s="229">
        <f>SUM(F15:F18)</f>
        <v>393000</v>
      </c>
      <c r="G14" s="229">
        <f t="shared" si="0"/>
        <v>0</v>
      </c>
      <c r="H14" s="229">
        <f t="shared" si="0"/>
        <v>0</v>
      </c>
      <c r="I14" s="962">
        <f t="shared" si="0"/>
        <v>0</v>
      </c>
      <c r="J14" s="410"/>
      <c r="K14" s="168">
        <f aca="true" t="shared" si="1" ref="K14:P14">SUM(K15:K18)</f>
        <v>0</v>
      </c>
      <c r="L14" s="229">
        <f t="shared" si="1"/>
        <v>393000</v>
      </c>
      <c r="M14" s="229">
        <f>SUM(M15:M18)</f>
        <v>393000</v>
      </c>
      <c r="N14" s="229">
        <f>SUM(N15:N18)</f>
        <v>393000</v>
      </c>
      <c r="O14" s="229">
        <f t="shared" si="1"/>
        <v>0</v>
      </c>
      <c r="P14" s="229">
        <f t="shared" si="1"/>
        <v>0</v>
      </c>
      <c r="Q14" s="962">
        <f>SUM(Q15:Q18)</f>
        <v>0</v>
      </c>
      <c r="R14" s="410"/>
      <c r="S14" s="495"/>
      <c r="T14" s="495"/>
      <c r="U14" s="229"/>
      <c r="V14" s="229"/>
      <c r="W14" s="229"/>
      <c r="X14" s="229"/>
      <c r="Y14" s="229"/>
      <c r="Z14" s="168"/>
      <c r="AA14" s="229"/>
    </row>
    <row r="15" spans="1:27" s="175" customFormat="1" ht="12" customHeight="1">
      <c r="A15" s="172"/>
      <c r="B15" s="171" t="s">
        <v>42</v>
      </c>
      <c r="C15" s="177" t="s">
        <v>77</v>
      </c>
      <c r="D15" s="230">
        <v>393000</v>
      </c>
      <c r="E15" s="230">
        <v>393000</v>
      </c>
      <c r="F15" s="230">
        <v>393000</v>
      </c>
      <c r="G15" s="230"/>
      <c r="H15" s="230"/>
      <c r="I15" s="963"/>
      <c r="J15" s="804"/>
      <c r="K15" s="174"/>
      <c r="L15" s="230">
        <v>393000</v>
      </c>
      <c r="M15" s="230">
        <v>393000</v>
      </c>
      <c r="N15" s="230">
        <v>393000</v>
      </c>
      <c r="O15" s="230"/>
      <c r="P15" s="230"/>
      <c r="Q15" s="963"/>
      <c r="R15" s="804"/>
      <c r="S15" s="497"/>
      <c r="T15" s="497"/>
      <c r="U15" s="230"/>
      <c r="V15" s="230"/>
      <c r="W15" s="230"/>
      <c r="X15" s="230"/>
      <c r="Y15" s="230"/>
      <c r="Z15" s="174"/>
      <c r="AA15" s="230"/>
    </row>
    <row r="16" spans="1:27" s="175" customFormat="1" ht="12" customHeight="1">
      <c r="A16" s="172"/>
      <c r="B16" s="171" t="s">
        <v>43</v>
      </c>
      <c r="C16" s="173" t="s">
        <v>124</v>
      </c>
      <c r="D16" s="230"/>
      <c r="E16" s="230"/>
      <c r="F16" s="230"/>
      <c r="G16" s="230"/>
      <c r="H16" s="230"/>
      <c r="I16" s="963"/>
      <c r="J16" s="804"/>
      <c r="K16" s="174"/>
      <c r="L16" s="230"/>
      <c r="M16" s="230"/>
      <c r="N16" s="230"/>
      <c r="O16" s="230"/>
      <c r="P16" s="230"/>
      <c r="Q16" s="963"/>
      <c r="R16" s="804"/>
      <c r="S16" s="497"/>
      <c r="T16" s="497"/>
      <c r="U16" s="230"/>
      <c r="V16" s="230"/>
      <c r="W16" s="230"/>
      <c r="X16" s="230"/>
      <c r="Y16" s="230"/>
      <c r="Z16" s="174"/>
      <c r="AA16" s="230"/>
    </row>
    <row r="17" spans="1:27" s="175" customFormat="1" ht="12" customHeight="1">
      <c r="A17" s="172"/>
      <c r="B17" s="171" t="s">
        <v>44</v>
      </c>
      <c r="C17" s="173" t="s">
        <v>78</v>
      </c>
      <c r="D17" s="230"/>
      <c r="E17" s="230"/>
      <c r="F17" s="230"/>
      <c r="G17" s="230"/>
      <c r="H17" s="230"/>
      <c r="I17" s="963"/>
      <c r="J17" s="804"/>
      <c r="K17" s="174"/>
      <c r="L17" s="230"/>
      <c r="M17" s="230"/>
      <c r="N17" s="230"/>
      <c r="O17" s="230"/>
      <c r="P17" s="230"/>
      <c r="Q17" s="963"/>
      <c r="R17" s="804"/>
      <c r="S17" s="497"/>
      <c r="T17" s="497"/>
      <c r="U17" s="230"/>
      <c r="V17" s="230"/>
      <c r="W17" s="230"/>
      <c r="X17" s="230"/>
      <c r="Y17" s="230"/>
      <c r="Z17" s="174"/>
      <c r="AA17" s="230"/>
    </row>
    <row r="18" spans="1:27" s="175" customFormat="1" ht="12" customHeight="1" thickBot="1">
      <c r="A18" s="172"/>
      <c r="B18" s="171" t="s">
        <v>291</v>
      </c>
      <c r="C18" s="173" t="s">
        <v>124</v>
      </c>
      <c r="D18" s="230"/>
      <c r="E18" s="230"/>
      <c r="F18" s="230"/>
      <c r="G18" s="230"/>
      <c r="H18" s="230"/>
      <c r="I18" s="963"/>
      <c r="J18" s="804"/>
      <c r="K18" s="174"/>
      <c r="L18" s="230"/>
      <c r="M18" s="230"/>
      <c r="N18" s="230"/>
      <c r="O18" s="230"/>
      <c r="P18" s="230"/>
      <c r="Q18" s="963"/>
      <c r="R18" s="804"/>
      <c r="S18" s="497"/>
      <c r="T18" s="497"/>
      <c r="U18" s="230"/>
      <c r="V18" s="230"/>
      <c r="W18" s="230"/>
      <c r="X18" s="230"/>
      <c r="Y18" s="230"/>
      <c r="Z18" s="174"/>
      <c r="AA18" s="230"/>
    </row>
    <row r="19" spans="1:27" s="175" customFormat="1" ht="12" customHeight="1" thickBot="1">
      <c r="A19" s="178" t="s">
        <v>10</v>
      </c>
      <c r="B19" s="179"/>
      <c r="C19" s="179" t="s">
        <v>127</v>
      </c>
      <c r="D19" s="229">
        <f>SUM(D20:D21)</f>
        <v>0</v>
      </c>
      <c r="E19" s="229">
        <f>SUM(E20:E21)</f>
        <v>0</v>
      </c>
      <c r="F19" s="229">
        <f>SUM(F20:F21)</f>
        <v>0</v>
      </c>
      <c r="G19" s="229">
        <f>SUM(G20:G21)</f>
        <v>0</v>
      </c>
      <c r="H19" s="229">
        <f>SUM(H20:H21)</f>
        <v>0</v>
      </c>
      <c r="I19" s="962"/>
      <c r="J19" s="410"/>
      <c r="K19" s="168"/>
      <c r="L19" s="229">
        <f>SUM(L20:L21)</f>
        <v>0</v>
      </c>
      <c r="M19" s="229">
        <f>SUM(M20:M21)</f>
        <v>0</v>
      </c>
      <c r="N19" s="229">
        <f>SUM(N20:N21)</f>
        <v>0</v>
      </c>
      <c r="O19" s="229">
        <f>SUM(O20:O21)</f>
        <v>0</v>
      </c>
      <c r="P19" s="229">
        <f>SUM(P20:P21)</f>
        <v>0</v>
      </c>
      <c r="Q19" s="962"/>
      <c r="R19" s="410"/>
      <c r="S19" s="495"/>
      <c r="T19" s="495"/>
      <c r="U19" s="229"/>
      <c r="V19" s="229"/>
      <c r="W19" s="229"/>
      <c r="X19" s="229"/>
      <c r="Y19" s="229"/>
      <c r="Z19" s="168"/>
      <c r="AA19" s="229"/>
    </row>
    <row r="20" spans="1:27" s="169" customFormat="1" ht="12" customHeight="1">
      <c r="A20" s="180"/>
      <c r="B20" s="181" t="s">
        <v>45</v>
      </c>
      <c r="C20" s="182" t="s">
        <v>129</v>
      </c>
      <c r="D20" s="231"/>
      <c r="E20" s="231"/>
      <c r="F20" s="231"/>
      <c r="G20" s="231"/>
      <c r="H20" s="231"/>
      <c r="I20" s="964"/>
      <c r="J20" s="805"/>
      <c r="K20" s="183"/>
      <c r="L20" s="231"/>
      <c r="M20" s="231"/>
      <c r="N20" s="231"/>
      <c r="O20" s="231"/>
      <c r="P20" s="231"/>
      <c r="Q20" s="964"/>
      <c r="R20" s="805"/>
      <c r="S20" s="498"/>
      <c r="T20" s="498"/>
      <c r="U20" s="231"/>
      <c r="V20" s="231"/>
      <c r="W20" s="231"/>
      <c r="X20" s="231"/>
      <c r="Y20" s="231"/>
      <c r="Z20" s="183"/>
      <c r="AA20" s="231"/>
    </row>
    <row r="21" spans="1:27" s="169" customFormat="1" ht="12" customHeight="1" thickBot="1">
      <c r="A21" s="184"/>
      <c r="B21" s="185" t="s">
        <v>46</v>
      </c>
      <c r="C21" s="186" t="s">
        <v>131</v>
      </c>
      <c r="D21" s="232"/>
      <c r="E21" s="232"/>
      <c r="F21" s="232"/>
      <c r="G21" s="232"/>
      <c r="H21" s="232"/>
      <c r="I21" s="965"/>
      <c r="J21" s="806"/>
      <c r="K21" s="187"/>
      <c r="L21" s="232"/>
      <c r="M21" s="232"/>
      <c r="N21" s="232"/>
      <c r="O21" s="232"/>
      <c r="P21" s="232"/>
      <c r="Q21" s="965"/>
      <c r="R21" s="806"/>
      <c r="S21" s="499"/>
      <c r="T21" s="499"/>
      <c r="U21" s="232"/>
      <c r="V21" s="232"/>
      <c r="W21" s="232"/>
      <c r="X21" s="232"/>
      <c r="Y21" s="232"/>
      <c r="Z21" s="187"/>
      <c r="AA21" s="232"/>
    </row>
    <row r="22" spans="1:27" s="169" customFormat="1" ht="12" customHeight="1" hidden="1" thickBot="1">
      <c r="A22" s="178" t="s">
        <v>11</v>
      </c>
      <c r="B22" s="166"/>
      <c r="D22" s="233"/>
      <c r="E22" s="233"/>
      <c r="F22" s="233"/>
      <c r="G22" s="233"/>
      <c r="H22" s="233"/>
      <c r="I22" s="966"/>
      <c r="J22" s="807" t="e">
        <f>H22/F22</f>
        <v>#DIV/0!</v>
      </c>
      <c r="K22" s="188"/>
      <c r="L22" s="233"/>
      <c r="M22" s="233"/>
      <c r="N22" s="233"/>
      <c r="O22" s="233"/>
      <c r="P22" s="233"/>
      <c r="Q22" s="966"/>
      <c r="R22" s="807" t="e">
        <f>P22/N22</f>
        <v>#DIV/0!</v>
      </c>
      <c r="S22" s="500"/>
      <c r="T22" s="500"/>
      <c r="U22" s="233"/>
      <c r="V22" s="233"/>
      <c r="W22" s="233"/>
      <c r="X22" s="233"/>
      <c r="Y22" s="233"/>
      <c r="Z22" s="188"/>
      <c r="AA22" s="233"/>
    </row>
    <row r="23" spans="1:27" s="169" customFormat="1" ht="12" customHeight="1" thickBot="1">
      <c r="A23" s="160" t="s">
        <v>11</v>
      </c>
      <c r="B23" s="189"/>
      <c r="C23" s="179" t="s">
        <v>133</v>
      </c>
      <c r="D23" s="288">
        <f aca="true" t="shared" si="2" ref="D23:I23">D9+D13+D14+D19+D22</f>
        <v>393000</v>
      </c>
      <c r="E23" s="288">
        <f>E9+E13+E14+E19+E22</f>
        <v>393000</v>
      </c>
      <c r="F23" s="288">
        <f>F9+F13+F14+F19+F22</f>
        <v>400750</v>
      </c>
      <c r="G23" s="288">
        <f t="shared" si="2"/>
        <v>0</v>
      </c>
      <c r="H23" s="288">
        <f t="shared" si="2"/>
        <v>0</v>
      </c>
      <c r="I23" s="288">
        <f t="shared" si="2"/>
        <v>0</v>
      </c>
      <c r="J23" s="410" t="e">
        <f>I23/H23</f>
        <v>#DIV/0!</v>
      </c>
      <c r="K23" s="168">
        <f aca="true" t="shared" si="3" ref="K23:Q23">K9+K13+K14+K19+K22</f>
        <v>0</v>
      </c>
      <c r="L23" s="288">
        <f t="shared" si="3"/>
        <v>393000</v>
      </c>
      <c r="M23" s="288">
        <f>M9+M13+M14+M19+M22</f>
        <v>393000</v>
      </c>
      <c r="N23" s="288">
        <f>N9+N13+N14+N19+N22</f>
        <v>400750</v>
      </c>
      <c r="O23" s="288">
        <f t="shared" si="3"/>
        <v>0</v>
      </c>
      <c r="P23" s="288">
        <f t="shared" si="3"/>
        <v>0</v>
      </c>
      <c r="Q23" s="288">
        <f t="shared" si="3"/>
        <v>0</v>
      </c>
      <c r="R23" s="410" t="e">
        <f>Q23/P23</f>
        <v>#DIV/0!</v>
      </c>
      <c r="S23" s="495"/>
      <c r="T23" s="495"/>
      <c r="U23" s="229"/>
      <c r="V23" s="229"/>
      <c r="W23" s="229"/>
      <c r="X23" s="229"/>
      <c r="Y23" s="229"/>
      <c r="Z23" s="168"/>
      <c r="AA23" s="229"/>
    </row>
    <row r="24" spans="1:27" s="175" customFormat="1" ht="12" customHeight="1" thickBot="1">
      <c r="A24" s="190" t="s">
        <v>12</v>
      </c>
      <c r="B24" s="191"/>
      <c r="C24" s="192" t="s">
        <v>134</v>
      </c>
      <c r="D24" s="289">
        <f aca="true" t="shared" si="4" ref="D24:I24">SUM(D25:D27)</f>
        <v>96648440</v>
      </c>
      <c r="E24" s="289">
        <f>SUM(E25:E27)</f>
        <v>96648440</v>
      </c>
      <c r="F24" s="289">
        <f>SUM(F25:F27)</f>
        <v>96650376</v>
      </c>
      <c r="G24" s="289">
        <f t="shared" si="4"/>
        <v>0</v>
      </c>
      <c r="H24" s="289">
        <f t="shared" si="4"/>
        <v>0</v>
      </c>
      <c r="I24" s="289">
        <f t="shared" si="4"/>
        <v>0</v>
      </c>
      <c r="J24" s="410" t="e">
        <f>I24/H24</f>
        <v>#DIV/0!</v>
      </c>
      <c r="K24" s="652">
        <f aca="true" t="shared" si="5" ref="K24:Q24">SUM(K25:K27)</f>
        <v>0</v>
      </c>
      <c r="L24" s="289">
        <f t="shared" si="5"/>
        <v>96648440</v>
      </c>
      <c r="M24" s="289">
        <f>SUM(M25:M27)</f>
        <v>96648440</v>
      </c>
      <c r="N24" s="289">
        <f>SUM(N25:N27)</f>
        <v>96650376</v>
      </c>
      <c r="O24" s="289">
        <f t="shared" si="5"/>
        <v>0</v>
      </c>
      <c r="P24" s="289">
        <f t="shared" si="5"/>
        <v>0</v>
      </c>
      <c r="Q24" s="289">
        <f t="shared" si="5"/>
        <v>0</v>
      </c>
      <c r="R24" s="410" t="e">
        <f>Q24/P24</f>
        <v>#DIV/0!</v>
      </c>
      <c r="S24" s="289">
        <f aca="true" t="shared" si="6" ref="S24:X24">SUM(S25:S27)</f>
        <v>4847310</v>
      </c>
      <c r="T24" s="289">
        <f>SUM(T25:T27)</f>
        <v>4847310</v>
      </c>
      <c r="U24" s="289">
        <f>SUM(U25:U27)</f>
        <v>4847310</v>
      </c>
      <c r="V24" s="289">
        <f t="shared" si="6"/>
        <v>0</v>
      </c>
      <c r="W24" s="289">
        <f t="shared" si="6"/>
        <v>0</v>
      </c>
      <c r="X24" s="289">
        <f t="shared" si="6"/>
        <v>0</v>
      </c>
      <c r="Y24" s="229"/>
      <c r="Z24" s="168"/>
      <c r="AA24" s="229"/>
    </row>
    <row r="25" spans="1:27" s="175" customFormat="1" ht="15" customHeight="1" thickBot="1">
      <c r="A25" s="170"/>
      <c r="B25" s="193" t="s">
        <v>47</v>
      </c>
      <c r="C25" s="182" t="s">
        <v>136</v>
      </c>
      <c r="D25" s="231">
        <v>63983</v>
      </c>
      <c r="E25" s="231">
        <v>63983</v>
      </c>
      <c r="F25" s="231">
        <f>63983-564</f>
        <v>63419</v>
      </c>
      <c r="G25" s="231"/>
      <c r="H25" s="231"/>
      <c r="I25" s="1003"/>
      <c r="J25" s="838"/>
      <c r="K25" s="183"/>
      <c r="L25" s="231">
        <v>63983</v>
      </c>
      <c r="M25" s="231">
        <v>63983</v>
      </c>
      <c r="N25" s="231">
        <f>63983-564</f>
        <v>63419</v>
      </c>
      <c r="O25" s="231"/>
      <c r="P25" s="231"/>
      <c r="Q25" s="1003"/>
      <c r="R25" s="838"/>
      <c r="S25" s="231"/>
      <c r="T25" s="231"/>
      <c r="U25" s="231"/>
      <c r="V25" s="231"/>
      <c r="W25" s="231"/>
      <c r="X25" s="231"/>
      <c r="Y25" s="505"/>
      <c r="Z25" s="290"/>
      <c r="AA25" s="505"/>
    </row>
    <row r="26" spans="1:27" s="175" customFormat="1" ht="15" customHeight="1">
      <c r="A26" s="653"/>
      <c r="B26" s="654" t="s">
        <v>48</v>
      </c>
      <c r="C26" s="530" t="s">
        <v>294</v>
      </c>
      <c r="D26" s="656">
        <v>96584457</v>
      </c>
      <c r="E26" s="656">
        <v>96584457</v>
      </c>
      <c r="F26" s="656">
        <f>96584457+2500</f>
        <v>96586957</v>
      </c>
      <c r="G26" s="656"/>
      <c r="H26" s="656"/>
      <c r="I26" s="967"/>
      <c r="J26" s="838"/>
      <c r="K26" s="661"/>
      <c r="L26" s="656">
        <v>96584457</v>
      </c>
      <c r="M26" s="656">
        <v>96584457</v>
      </c>
      <c r="N26" s="656">
        <f>96584457+2500</f>
        <v>96586957</v>
      </c>
      <c r="O26" s="656"/>
      <c r="P26" s="656"/>
      <c r="Q26" s="967"/>
      <c r="R26" s="838"/>
      <c r="S26" s="657">
        <v>4847310</v>
      </c>
      <c r="T26" s="657">
        <v>4847310</v>
      </c>
      <c r="U26" s="657">
        <v>4847310</v>
      </c>
      <c r="V26" s="657"/>
      <c r="W26" s="657"/>
      <c r="X26" s="657"/>
      <c r="Y26" s="658"/>
      <c r="Z26" s="659"/>
      <c r="AA26" s="658"/>
    </row>
    <row r="27" spans="1:27" s="175" customFormat="1" ht="15" customHeight="1" thickBot="1">
      <c r="A27" s="194"/>
      <c r="B27" s="195" t="s">
        <v>76</v>
      </c>
      <c r="C27" s="196" t="s">
        <v>138</v>
      </c>
      <c r="D27" s="235"/>
      <c r="E27" s="235"/>
      <c r="F27" s="235"/>
      <c r="G27" s="235"/>
      <c r="H27" s="235"/>
      <c r="I27" s="968"/>
      <c r="J27" s="808"/>
      <c r="K27" s="197"/>
      <c r="L27" s="235"/>
      <c r="M27" s="235"/>
      <c r="N27" s="235"/>
      <c r="O27" s="235"/>
      <c r="P27" s="235"/>
      <c r="Q27" s="968"/>
      <c r="R27" s="808"/>
      <c r="S27" s="502"/>
      <c r="T27" s="502"/>
      <c r="U27" s="502"/>
      <c r="V27" s="502"/>
      <c r="W27" s="502"/>
      <c r="X27" s="502"/>
      <c r="Y27" s="235"/>
      <c r="Z27" s="197"/>
      <c r="AA27" s="235"/>
    </row>
    <row r="28" spans="1:27" ht="13.5" hidden="1" thickBot="1">
      <c r="A28" s="198" t="s">
        <v>13</v>
      </c>
      <c r="B28" s="199"/>
      <c r="C28" s="200" t="s">
        <v>139</v>
      </c>
      <c r="D28" s="285"/>
      <c r="E28" s="285"/>
      <c r="F28" s="285"/>
      <c r="G28" s="285"/>
      <c r="H28" s="285"/>
      <c r="I28" s="1005"/>
      <c r="J28" s="809" t="e">
        <f>H28/F28</f>
        <v>#DIV/0!</v>
      </c>
      <c r="K28" s="188"/>
      <c r="L28" s="285"/>
      <c r="M28" s="285"/>
      <c r="N28" s="285"/>
      <c r="O28" s="285"/>
      <c r="P28" s="285"/>
      <c r="Q28" s="1005"/>
      <c r="R28" s="809" t="e">
        <f>P28/N28</f>
        <v>#DIV/0!</v>
      </c>
      <c r="S28" s="500"/>
      <c r="T28" s="500"/>
      <c r="U28" s="500"/>
      <c r="V28" s="500"/>
      <c r="W28" s="500"/>
      <c r="X28" s="500"/>
      <c r="Y28" s="233"/>
      <c r="Z28" s="188"/>
      <c r="AA28" s="233"/>
    </row>
    <row r="29" spans="1:27" s="163" customFormat="1" ht="16.5" customHeight="1" thickBot="1">
      <c r="A29" s="198" t="s">
        <v>13</v>
      </c>
      <c r="B29" s="201"/>
      <c r="C29" s="202" t="s">
        <v>295</v>
      </c>
      <c r="D29" s="291">
        <f aca="true" t="shared" si="7" ref="D29:I29">D23+D28+D24</f>
        <v>97041440</v>
      </c>
      <c r="E29" s="291">
        <f>E23+E28+E24</f>
        <v>97041440</v>
      </c>
      <c r="F29" s="291">
        <f>F23+F28+F24</f>
        <v>97051126</v>
      </c>
      <c r="G29" s="291">
        <f t="shared" si="7"/>
        <v>0</v>
      </c>
      <c r="H29" s="291">
        <f t="shared" si="7"/>
        <v>0</v>
      </c>
      <c r="I29" s="291">
        <f t="shared" si="7"/>
        <v>0</v>
      </c>
      <c r="J29" s="410" t="e">
        <f>I29/H29</f>
        <v>#DIV/0!</v>
      </c>
      <c r="K29" s="221">
        <f aca="true" t="shared" si="8" ref="K29:Q29">K23+K28+K24</f>
        <v>0</v>
      </c>
      <c r="L29" s="291">
        <f t="shared" si="8"/>
        <v>97041440</v>
      </c>
      <c r="M29" s="291">
        <f>M23+M28+M24</f>
        <v>97041440</v>
      </c>
      <c r="N29" s="291">
        <f>N23+N28+N24</f>
        <v>97051126</v>
      </c>
      <c r="O29" s="291">
        <f t="shared" si="8"/>
        <v>0</v>
      </c>
      <c r="P29" s="291">
        <f t="shared" si="8"/>
        <v>0</v>
      </c>
      <c r="Q29" s="291">
        <f t="shared" si="8"/>
        <v>0</v>
      </c>
      <c r="R29" s="410" t="e">
        <f>Q29/P29</f>
        <v>#DIV/0!</v>
      </c>
      <c r="S29" s="291">
        <f aca="true" t="shared" si="9" ref="S29:X29">S23+S28+S24</f>
        <v>4847310</v>
      </c>
      <c r="T29" s="291">
        <f>T23+T28+T24</f>
        <v>4847310</v>
      </c>
      <c r="U29" s="291">
        <f>U23+U28+U24</f>
        <v>4847310</v>
      </c>
      <c r="V29" s="291">
        <f t="shared" si="9"/>
        <v>0</v>
      </c>
      <c r="W29" s="291">
        <f t="shared" si="9"/>
        <v>0</v>
      </c>
      <c r="X29" s="291">
        <f t="shared" si="9"/>
        <v>0</v>
      </c>
      <c r="Y29" s="236"/>
      <c r="Z29" s="221"/>
      <c r="AA29" s="236"/>
    </row>
    <row r="30" spans="1:20" s="207" customFormat="1" ht="12" customHeight="1">
      <c r="A30" s="204"/>
      <c r="B30" s="204"/>
      <c r="C30" s="205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</row>
    <row r="31" spans="1:20" ht="12" customHeight="1" thickBot="1">
      <c r="A31" s="208"/>
      <c r="B31" s="209"/>
      <c r="C31" s="209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</row>
    <row r="32" spans="1:26" ht="12" customHeight="1" thickBot="1">
      <c r="A32" s="211"/>
      <c r="B32" s="212"/>
      <c r="C32" s="213" t="s">
        <v>141</v>
      </c>
      <c r="D32" s="227"/>
      <c r="E32" s="227"/>
      <c r="F32" s="227"/>
      <c r="G32" s="227"/>
      <c r="H32" s="227"/>
      <c r="I32" s="227"/>
      <c r="J32" s="227"/>
      <c r="K32" s="227"/>
      <c r="L32" s="236"/>
      <c r="M32" s="227"/>
      <c r="N32" s="227"/>
      <c r="O32" s="227"/>
      <c r="P32" s="227"/>
      <c r="Q32" s="227"/>
      <c r="R32" s="227"/>
      <c r="S32" s="503"/>
      <c r="T32" s="503"/>
      <c r="U32" s="236"/>
      <c r="V32" s="236"/>
      <c r="W32" s="236"/>
      <c r="X32" s="1009"/>
      <c r="Y32" s="221"/>
      <c r="Z32" s="203"/>
    </row>
    <row r="33" spans="1:27" ht="12" customHeight="1" thickBot="1">
      <c r="A33" s="178" t="s">
        <v>30</v>
      </c>
      <c r="B33" s="214"/>
      <c r="C33" s="506" t="s">
        <v>142</v>
      </c>
      <c r="D33" s="495">
        <f aca="true" t="shared" si="10" ref="D33:I33">SUM(D34:D38)</f>
        <v>96152440</v>
      </c>
      <c r="E33" s="495">
        <f>SUM(E34:E38)</f>
        <v>96152440</v>
      </c>
      <c r="F33" s="495">
        <f>SUM(F34:F38)</f>
        <v>96162126</v>
      </c>
      <c r="G33" s="495">
        <f t="shared" si="10"/>
        <v>0</v>
      </c>
      <c r="H33" s="495">
        <f t="shared" si="10"/>
        <v>0</v>
      </c>
      <c r="I33" s="495">
        <f t="shared" si="10"/>
        <v>0</v>
      </c>
      <c r="J33" s="410" t="e">
        <f>I33/H33</f>
        <v>#DIV/0!</v>
      </c>
      <c r="K33" s="489">
        <f aca="true" t="shared" si="11" ref="K33:Q33">SUM(K34:K38)</f>
        <v>0</v>
      </c>
      <c r="L33" s="495">
        <f t="shared" si="11"/>
        <v>96152440</v>
      </c>
      <c r="M33" s="495">
        <f>SUM(M34:M38)</f>
        <v>96152440</v>
      </c>
      <c r="N33" s="495">
        <f>SUM(N34:N38)</f>
        <v>96162126</v>
      </c>
      <c r="O33" s="495">
        <f t="shared" si="11"/>
        <v>0</v>
      </c>
      <c r="P33" s="495">
        <f t="shared" si="11"/>
        <v>0</v>
      </c>
      <c r="Q33" s="495">
        <f t="shared" si="11"/>
        <v>0</v>
      </c>
      <c r="R33" s="410" t="e">
        <f>Q33/P33</f>
        <v>#DIV/0!</v>
      </c>
      <c r="S33" s="495">
        <f aca="true" t="shared" si="12" ref="S33:X33">SUM(S34:S38)</f>
        <v>4847310</v>
      </c>
      <c r="T33" s="495">
        <f>SUM(T34:T38)</f>
        <v>4847310</v>
      </c>
      <c r="U33" s="495">
        <f>SUM(U34:U38)</f>
        <v>4847310</v>
      </c>
      <c r="V33" s="495">
        <f t="shared" si="12"/>
        <v>0</v>
      </c>
      <c r="W33" s="495">
        <f t="shared" si="12"/>
        <v>0</v>
      </c>
      <c r="X33" s="495">
        <f t="shared" si="12"/>
        <v>0</v>
      </c>
      <c r="Y33" s="410" t="e">
        <f>X33/W33</f>
        <v>#DIV/0!</v>
      </c>
      <c r="Z33" s="518"/>
      <c r="AA33" s="168">
        <f>SUM(AA34:AA38)</f>
        <v>0</v>
      </c>
    </row>
    <row r="34" spans="1:27" ht="12" customHeight="1">
      <c r="A34" s="215"/>
      <c r="B34" s="216" t="s">
        <v>116</v>
      </c>
      <c r="C34" s="507" t="s">
        <v>143</v>
      </c>
      <c r="D34" s="513">
        <v>59462996</v>
      </c>
      <c r="E34" s="513">
        <v>59462996</v>
      </c>
      <c r="F34" s="513">
        <v>59462996</v>
      </c>
      <c r="G34" s="513"/>
      <c r="H34" s="513"/>
      <c r="I34" s="542"/>
      <c r="J34" s="838"/>
      <c r="K34" s="836"/>
      <c r="L34" s="513">
        <v>59462996</v>
      </c>
      <c r="M34" s="513">
        <v>59462996</v>
      </c>
      <c r="N34" s="513">
        <v>59462996</v>
      </c>
      <c r="O34" s="513"/>
      <c r="P34" s="513"/>
      <c r="Q34" s="542"/>
      <c r="R34" s="838"/>
      <c r="S34" s="497">
        <v>2225600</v>
      </c>
      <c r="T34" s="497">
        <v>2225600</v>
      </c>
      <c r="U34" s="497">
        <v>2225600</v>
      </c>
      <c r="V34" s="497"/>
      <c r="W34" s="497"/>
      <c r="X34" s="497"/>
      <c r="Y34" s="838" t="e">
        <f>X34/W34</f>
        <v>#DIV/0!</v>
      </c>
      <c r="Z34" s="519"/>
      <c r="AA34" s="174"/>
    </row>
    <row r="35" spans="1:27" ht="12" customHeight="1">
      <c r="A35" s="217"/>
      <c r="B35" s="218" t="s">
        <v>117</v>
      </c>
      <c r="C35" s="508" t="s">
        <v>54</v>
      </c>
      <c r="D35" s="514">
        <v>16160618</v>
      </c>
      <c r="E35" s="514">
        <v>16160618</v>
      </c>
      <c r="F35" s="514">
        <v>16160618</v>
      </c>
      <c r="G35" s="514"/>
      <c r="H35" s="514"/>
      <c r="I35" s="543"/>
      <c r="J35" s="838"/>
      <c r="K35" s="521"/>
      <c r="L35" s="514">
        <v>16160618</v>
      </c>
      <c r="M35" s="514">
        <v>16160618</v>
      </c>
      <c r="N35" s="514">
        <v>16160618</v>
      </c>
      <c r="O35" s="514"/>
      <c r="P35" s="514"/>
      <c r="Q35" s="543"/>
      <c r="R35" s="838"/>
      <c r="S35" s="497">
        <v>568827</v>
      </c>
      <c r="T35" s="497">
        <v>568827</v>
      </c>
      <c r="U35" s="497">
        <v>568827</v>
      </c>
      <c r="V35" s="497"/>
      <c r="W35" s="497"/>
      <c r="X35" s="497"/>
      <c r="Y35" s="838" t="e">
        <f>X35/W35</f>
        <v>#DIV/0!</v>
      </c>
      <c r="Z35" s="519"/>
      <c r="AA35" s="174"/>
    </row>
    <row r="36" spans="1:27" ht="12" customHeight="1">
      <c r="A36" s="217"/>
      <c r="B36" s="218" t="s">
        <v>118</v>
      </c>
      <c r="C36" s="508" t="s">
        <v>144</v>
      </c>
      <c r="D36" s="514">
        <v>20528826</v>
      </c>
      <c r="E36" s="514">
        <v>20528826</v>
      </c>
      <c r="F36" s="514">
        <f>20528826+7186</f>
        <v>20536012</v>
      </c>
      <c r="G36" s="514"/>
      <c r="H36" s="514"/>
      <c r="I36" s="543"/>
      <c r="J36" s="838"/>
      <c r="K36" s="521"/>
      <c r="L36" s="514">
        <v>20528826</v>
      </c>
      <c r="M36" s="514">
        <v>20528826</v>
      </c>
      <c r="N36" s="514">
        <f>20528826+7186</f>
        <v>20536012</v>
      </c>
      <c r="O36" s="514"/>
      <c r="P36" s="514"/>
      <c r="Q36" s="543"/>
      <c r="R36" s="838"/>
      <c r="S36" s="497">
        <v>2052883</v>
      </c>
      <c r="T36" s="497">
        <v>2052883</v>
      </c>
      <c r="U36" s="497">
        <v>2052883</v>
      </c>
      <c r="V36" s="497"/>
      <c r="W36" s="497"/>
      <c r="X36" s="497"/>
      <c r="Y36" s="838" t="e">
        <f>X36/W36</f>
        <v>#DIV/0!</v>
      </c>
      <c r="Z36" s="519"/>
      <c r="AA36" s="174"/>
    </row>
    <row r="37" spans="1:27" s="207" customFormat="1" ht="12" customHeight="1">
      <c r="A37" s="217"/>
      <c r="B37" s="218" t="s">
        <v>119</v>
      </c>
      <c r="C37" s="508" t="s">
        <v>86</v>
      </c>
      <c r="D37" s="514"/>
      <c r="E37" s="514"/>
      <c r="F37" s="514">
        <v>2500</v>
      </c>
      <c r="G37" s="514"/>
      <c r="H37" s="514"/>
      <c r="I37" s="1006"/>
      <c r="J37" s="838"/>
      <c r="K37" s="521"/>
      <c r="L37" s="514"/>
      <c r="M37" s="514"/>
      <c r="N37" s="514">
        <v>2500</v>
      </c>
      <c r="O37" s="514"/>
      <c r="P37" s="514"/>
      <c r="Q37" s="1006"/>
      <c r="R37" s="838"/>
      <c r="S37" s="497"/>
      <c r="T37" s="497"/>
      <c r="U37" s="497"/>
      <c r="V37" s="497"/>
      <c r="W37" s="230"/>
      <c r="X37" s="230"/>
      <c r="Y37" s="174"/>
      <c r="Z37" s="520"/>
      <c r="AA37" s="174"/>
    </row>
    <row r="38" spans="1:27" ht="12" customHeight="1" thickBot="1">
      <c r="A38" s="217"/>
      <c r="B38" s="218" t="s">
        <v>53</v>
      </c>
      <c r="C38" s="508" t="s">
        <v>88</v>
      </c>
      <c r="D38" s="514"/>
      <c r="E38" s="514"/>
      <c r="F38" s="514"/>
      <c r="G38" s="514"/>
      <c r="H38" s="514"/>
      <c r="I38" s="543"/>
      <c r="J38" s="838"/>
      <c r="K38" s="521"/>
      <c r="L38" s="514"/>
      <c r="M38" s="514"/>
      <c r="N38" s="514"/>
      <c r="O38" s="514"/>
      <c r="P38" s="514"/>
      <c r="Q38" s="543"/>
      <c r="R38" s="838"/>
      <c r="S38" s="514"/>
      <c r="T38" s="514"/>
      <c r="U38" s="514"/>
      <c r="V38" s="514"/>
      <c r="W38" s="238"/>
      <c r="X38" s="238"/>
      <c r="Y38" s="219"/>
      <c r="Z38" s="521"/>
      <c r="AA38" s="219"/>
    </row>
    <row r="39" spans="1:27" ht="12" customHeight="1" thickBot="1">
      <c r="A39" s="178" t="s">
        <v>31</v>
      </c>
      <c r="B39" s="214"/>
      <c r="C39" s="506" t="s">
        <v>145</v>
      </c>
      <c r="D39" s="495">
        <f aca="true" t="shared" si="13" ref="D39:I39">SUM(D40:D43)</f>
        <v>889000</v>
      </c>
      <c r="E39" s="495">
        <f>SUM(E40:E43)</f>
        <v>889000</v>
      </c>
      <c r="F39" s="495">
        <f>SUM(F40:F43)</f>
        <v>889000</v>
      </c>
      <c r="G39" s="495">
        <f t="shared" si="13"/>
        <v>0</v>
      </c>
      <c r="H39" s="495">
        <f t="shared" si="13"/>
        <v>0</v>
      </c>
      <c r="I39" s="495">
        <f t="shared" si="13"/>
        <v>0</v>
      </c>
      <c r="J39" s="410" t="e">
        <f>I39/H39</f>
        <v>#DIV/0!</v>
      </c>
      <c r="K39" s="489">
        <f aca="true" t="shared" si="14" ref="K39:Q39">SUM(K40:K43)</f>
        <v>0</v>
      </c>
      <c r="L39" s="495">
        <f t="shared" si="14"/>
        <v>889000</v>
      </c>
      <c r="M39" s="495">
        <f>SUM(M40:M43)</f>
        <v>889000</v>
      </c>
      <c r="N39" s="495">
        <f>SUM(N40:N43)</f>
        <v>889000</v>
      </c>
      <c r="O39" s="495">
        <f t="shared" si="14"/>
        <v>0</v>
      </c>
      <c r="P39" s="495">
        <f t="shared" si="14"/>
        <v>0</v>
      </c>
      <c r="Q39" s="495">
        <f t="shared" si="14"/>
        <v>0</v>
      </c>
      <c r="R39" s="410" t="e">
        <f>Q39/P39</f>
        <v>#DIV/0!</v>
      </c>
      <c r="S39" s="495">
        <f aca="true" t="shared" si="15" ref="S39:Y39">SUM(S40:S43)</f>
        <v>0</v>
      </c>
      <c r="T39" s="495">
        <f>SUM(T40:T43)</f>
        <v>0</v>
      </c>
      <c r="U39" s="495">
        <f>SUM(U40:U43)</f>
        <v>0</v>
      </c>
      <c r="V39" s="495">
        <f>SUM(V40:V43)</f>
        <v>0</v>
      </c>
      <c r="W39" s="229">
        <f t="shared" si="15"/>
        <v>0</v>
      </c>
      <c r="X39" s="229">
        <f>SUM(X40:X43)</f>
        <v>0</v>
      </c>
      <c r="Y39" s="168">
        <f t="shared" si="15"/>
        <v>0</v>
      </c>
      <c r="Z39" s="489"/>
      <c r="AA39" s="168">
        <f>SUM(AA40:AA43)</f>
        <v>0</v>
      </c>
    </row>
    <row r="40" spans="1:27" ht="12" customHeight="1">
      <c r="A40" s="215"/>
      <c r="B40" s="216" t="s">
        <v>146</v>
      </c>
      <c r="C40" s="507" t="s">
        <v>98</v>
      </c>
      <c r="D40" s="513">
        <v>889000</v>
      </c>
      <c r="E40" s="513">
        <v>889000</v>
      </c>
      <c r="F40" s="513">
        <v>889000</v>
      </c>
      <c r="G40" s="513"/>
      <c r="H40" s="513"/>
      <c r="I40" s="542"/>
      <c r="J40" s="838"/>
      <c r="K40" s="836"/>
      <c r="L40" s="513">
        <v>889000</v>
      </c>
      <c r="M40" s="513">
        <v>889000</v>
      </c>
      <c r="N40" s="513">
        <v>889000</v>
      </c>
      <c r="O40" s="513"/>
      <c r="P40" s="513"/>
      <c r="Q40" s="542"/>
      <c r="R40" s="838" t="e">
        <f>Q40/P40</f>
        <v>#DIV/0!</v>
      </c>
      <c r="S40" s="497"/>
      <c r="T40" s="497"/>
      <c r="U40" s="497"/>
      <c r="V40" s="497"/>
      <c r="W40" s="230"/>
      <c r="X40" s="230"/>
      <c r="Y40" s="174"/>
      <c r="Z40" s="520"/>
      <c r="AA40" s="174"/>
    </row>
    <row r="41" spans="1:27" ht="12" customHeight="1">
      <c r="A41" s="217"/>
      <c r="B41" s="218" t="s">
        <v>147</v>
      </c>
      <c r="C41" s="508" t="s">
        <v>99</v>
      </c>
      <c r="D41" s="514">
        <v>0</v>
      </c>
      <c r="E41" s="514">
        <v>0</v>
      </c>
      <c r="F41" s="514">
        <v>0</v>
      </c>
      <c r="G41" s="514">
        <v>0</v>
      </c>
      <c r="H41" s="514">
        <v>0</v>
      </c>
      <c r="I41" s="1006"/>
      <c r="J41" s="238"/>
      <c r="K41" s="521">
        <v>0</v>
      </c>
      <c r="L41" s="514">
        <v>0</v>
      </c>
      <c r="M41" s="514">
        <v>0</v>
      </c>
      <c r="N41" s="514">
        <v>0</v>
      </c>
      <c r="O41" s="514">
        <v>0</v>
      </c>
      <c r="P41" s="514">
        <v>0</v>
      </c>
      <c r="Q41" s="1006"/>
      <c r="R41" s="238"/>
      <c r="S41" s="514"/>
      <c r="T41" s="514"/>
      <c r="U41" s="514"/>
      <c r="V41" s="514"/>
      <c r="W41" s="238"/>
      <c r="X41" s="238"/>
      <c r="Y41" s="219"/>
      <c r="Z41" s="521"/>
      <c r="AA41" s="219"/>
    </row>
    <row r="42" spans="1:27" ht="15" customHeight="1">
      <c r="A42" s="217"/>
      <c r="B42" s="218" t="s">
        <v>148</v>
      </c>
      <c r="C42" s="508" t="s">
        <v>149</v>
      </c>
      <c r="D42" s="514"/>
      <c r="E42" s="514"/>
      <c r="F42" s="514"/>
      <c r="G42" s="514"/>
      <c r="H42" s="514"/>
      <c r="I42" s="1006"/>
      <c r="J42" s="238"/>
      <c r="K42" s="521"/>
      <c r="L42" s="514"/>
      <c r="M42" s="514"/>
      <c r="N42" s="514"/>
      <c r="O42" s="514"/>
      <c r="P42" s="514"/>
      <c r="Q42" s="1006"/>
      <c r="R42" s="238"/>
      <c r="S42" s="514"/>
      <c r="T42" s="514"/>
      <c r="U42" s="514"/>
      <c r="V42" s="514"/>
      <c r="W42" s="238"/>
      <c r="X42" s="238"/>
      <c r="Y42" s="219"/>
      <c r="Z42" s="521"/>
      <c r="AA42" s="219"/>
    </row>
    <row r="43" spans="1:27" ht="23.25" thickBot="1">
      <c r="A43" s="217"/>
      <c r="B43" s="218" t="s">
        <v>150</v>
      </c>
      <c r="C43" s="508" t="s">
        <v>151</v>
      </c>
      <c r="D43" s="514"/>
      <c r="E43" s="514"/>
      <c r="F43" s="514"/>
      <c r="G43" s="514"/>
      <c r="H43" s="514"/>
      <c r="I43" s="1006"/>
      <c r="J43" s="238"/>
      <c r="K43" s="521"/>
      <c r="L43" s="514"/>
      <c r="M43" s="514"/>
      <c r="N43" s="514"/>
      <c r="O43" s="514"/>
      <c r="P43" s="514"/>
      <c r="Q43" s="1006"/>
      <c r="R43" s="238"/>
      <c r="S43" s="514"/>
      <c r="T43" s="514"/>
      <c r="U43" s="514"/>
      <c r="V43" s="514"/>
      <c r="W43" s="238"/>
      <c r="X43" s="238"/>
      <c r="Y43" s="219"/>
      <c r="Z43" s="521"/>
      <c r="AA43" s="219"/>
    </row>
    <row r="44" spans="1:27" ht="15" customHeight="1" hidden="1" thickBot="1">
      <c r="A44" s="178" t="s">
        <v>10</v>
      </c>
      <c r="B44" s="214"/>
      <c r="C44" s="509" t="s">
        <v>152</v>
      </c>
      <c r="D44" s="500"/>
      <c r="E44" s="500"/>
      <c r="F44" s="500"/>
      <c r="G44" s="500"/>
      <c r="H44" s="500"/>
      <c r="I44" s="285"/>
      <c r="J44" s="233"/>
      <c r="K44" s="490"/>
      <c r="L44" s="500"/>
      <c r="M44" s="500"/>
      <c r="N44" s="500"/>
      <c r="O44" s="500"/>
      <c r="P44" s="500"/>
      <c r="Q44" s="285"/>
      <c r="R44" s="233"/>
      <c r="S44" s="500"/>
      <c r="T44" s="500"/>
      <c r="U44" s="500"/>
      <c r="V44" s="500"/>
      <c r="W44" s="233"/>
      <c r="X44" s="233"/>
      <c r="Y44" s="188"/>
      <c r="Z44" s="490"/>
      <c r="AA44" s="188"/>
    </row>
    <row r="45" spans="1:27" ht="14.25" customHeight="1" hidden="1" thickBot="1">
      <c r="A45" s="198" t="s">
        <v>11</v>
      </c>
      <c r="B45" s="199"/>
      <c r="C45" s="510" t="s">
        <v>153</v>
      </c>
      <c r="D45" s="500"/>
      <c r="E45" s="500"/>
      <c r="F45" s="500"/>
      <c r="G45" s="500"/>
      <c r="H45" s="500"/>
      <c r="I45" s="285"/>
      <c r="J45" s="233"/>
      <c r="K45" s="490"/>
      <c r="L45" s="500"/>
      <c r="M45" s="500"/>
      <c r="N45" s="500"/>
      <c r="O45" s="500"/>
      <c r="P45" s="500"/>
      <c r="Q45" s="285"/>
      <c r="R45" s="233"/>
      <c r="S45" s="500"/>
      <c r="T45" s="500"/>
      <c r="U45" s="500"/>
      <c r="V45" s="500"/>
      <c r="W45" s="233"/>
      <c r="X45" s="233"/>
      <c r="Y45" s="188"/>
      <c r="Z45" s="490"/>
      <c r="AA45" s="188"/>
    </row>
    <row r="46" spans="1:27" ht="13.5" thickBot="1">
      <c r="A46" s="178" t="s">
        <v>10</v>
      </c>
      <c r="B46" s="220"/>
      <c r="C46" s="511" t="s">
        <v>296</v>
      </c>
      <c r="D46" s="503">
        <f aca="true" t="shared" si="16" ref="D46:I46">D33+D39+D44+D45</f>
        <v>97041440</v>
      </c>
      <c r="E46" s="503">
        <f t="shared" si="16"/>
        <v>97041440</v>
      </c>
      <c r="F46" s="503">
        <f>F33+F39+F44+F45</f>
        <v>97051126</v>
      </c>
      <c r="G46" s="503">
        <f t="shared" si="16"/>
        <v>0</v>
      </c>
      <c r="H46" s="503">
        <f t="shared" si="16"/>
        <v>0</v>
      </c>
      <c r="I46" s="503">
        <f t="shared" si="16"/>
        <v>0</v>
      </c>
      <c r="J46" s="410" t="e">
        <f>I46/H46</f>
        <v>#DIV/0!</v>
      </c>
      <c r="K46" s="203">
        <f aca="true" t="shared" si="17" ref="K46:Q46">K33+K39+K44+K45</f>
        <v>0</v>
      </c>
      <c r="L46" s="503">
        <f t="shared" si="17"/>
        <v>97041440</v>
      </c>
      <c r="M46" s="503">
        <f t="shared" si="17"/>
        <v>97041440</v>
      </c>
      <c r="N46" s="503">
        <f t="shared" si="17"/>
        <v>97051126</v>
      </c>
      <c r="O46" s="503">
        <f t="shared" si="17"/>
        <v>0</v>
      </c>
      <c r="P46" s="503">
        <f t="shared" si="17"/>
        <v>0</v>
      </c>
      <c r="Q46" s="503">
        <f t="shared" si="17"/>
        <v>0</v>
      </c>
      <c r="R46" s="410" t="e">
        <f>Q46/P46</f>
        <v>#DIV/0!</v>
      </c>
      <c r="S46" s="503">
        <f aca="true" t="shared" si="18" ref="S46:X46">S33+S39+S44+S45</f>
        <v>4847310</v>
      </c>
      <c r="T46" s="503">
        <f>T33+T39+T44+T45</f>
        <v>4847310</v>
      </c>
      <c r="U46" s="503">
        <f>U33+U39+U44+U45</f>
        <v>4847310</v>
      </c>
      <c r="V46" s="503">
        <f t="shared" si="18"/>
        <v>0</v>
      </c>
      <c r="W46" s="236">
        <f t="shared" si="18"/>
        <v>0</v>
      </c>
      <c r="X46" s="236">
        <f t="shared" si="18"/>
        <v>0</v>
      </c>
      <c r="Y46" s="410" t="e">
        <f>X46/W46</f>
        <v>#DIV/0!</v>
      </c>
      <c r="Z46" s="522" t="e">
        <f>Y46/W46</f>
        <v>#DIV/0!</v>
      </c>
      <c r="AA46" s="221">
        <f>AA33+AA39+AA44+AA45</f>
        <v>0</v>
      </c>
    </row>
    <row r="47" spans="1:27" ht="13.5" thickBot="1">
      <c r="A47" s="222"/>
      <c r="B47" s="223"/>
      <c r="C47" s="223"/>
      <c r="D47" s="523"/>
      <c r="E47" s="523"/>
      <c r="F47" s="523"/>
      <c r="G47" s="523"/>
      <c r="H47" s="523"/>
      <c r="I47" s="1007"/>
      <c r="J47" s="524"/>
      <c r="K47" s="837"/>
      <c r="L47" s="523"/>
      <c r="M47" s="523"/>
      <c r="N47" s="523"/>
      <c r="O47" s="523"/>
      <c r="P47" s="523"/>
      <c r="Q47" s="1007"/>
      <c r="R47" s="524"/>
      <c r="S47" s="523"/>
      <c r="T47" s="523"/>
      <c r="U47" s="523"/>
      <c r="V47" s="523"/>
      <c r="W47" s="525"/>
      <c r="X47" s="525"/>
      <c r="Y47" s="526"/>
      <c r="AA47" s="526"/>
    </row>
    <row r="48" spans="1:27" ht="13.5" thickBot="1">
      <c r="A48" s="224" t="s">
        <v>155</v>
      </c>
      <c r="B48" s="225"/>
      <c r="C48" s="512"/>
      <c r="D48" s="527">
        <v>20</v>
      </c>
      <c r="E48" s="527">
        <v>20</v>
      </c>
      <c r="F48" s="527">
        <v>21</v>
      </c>
      <c r="G48" s="527"/>
      <c r="H48" s="527"/>
      <c r="I48" s="1008"/>
      <c r="J48" s="410"/>
      <c r="K48" s="240"/>
      <c r="L48" s="527">
        <v>20</v>
      </c>
      <c r="M48" s="527">
        <v>20</v>
      </c>
      <c r="N48" s="527">
        <v>21</v>
      </c>
      <c r="O48" s="527"/>
      <c r="P48" s="527"/>
      <c r="Q48" s="1008"/>
      <c r="R48" s="410"/>
      <c r="S48" s="527">
        <v>0</v>
      </c>
      <c r="T48" s="527">
        <v>0</v>
      </c>
      <c r="U48" s="527">
        <v>0</v>
      </c>
      <c r="V48" s="527"/>
      <c r="W48" s="241"/>
      <c r="X48" s="241"/>
      <c r="Y48" s="410" t="e">
        <f>X48/W48</f>
        <v>#DIV/0!</v>
      </c>
      <c r="Z48" s="240"/>
      <c r="AA48" s="515"/>
    </row>
    <row r="49" spans="1:27" ht="13.5" thickBot="1">
      <c r="A49" s="224" t="s">
        <v>156</v>
      </c>
      <c r="B49" s="225"/>
      <c r="C49" s="512"/>
      <c r="D49" s="527">
        <v>0</v>
      </c>
      <c r="E49" s="527">
        <v>0</v>
      </c>
      <c r="F49" s="527">
        <v>0</v>
      </c>
      <c r="G49" s="527">
        <v>0</v>
      </c>
      <c r="H49" s="527">
        <v>0</v>
      </c>
      <c r="I49" s="1008">
        <v>0</v>
      </c>
      <c r="J49" s="410"/>
      <c r="K49" s="240"/>
      <c r="L49" s="527">
        <v>0</v>
      </c>
      <c r="M49" s="527">
        <v>0</v>
      </c>
      <c r="N49" s="527">
        <v>0</v>
      </c>
      <c r="O49" s="527">
        <v>0</v>
      </c>
      <c r="P49" s="527">
        <v>0</v>
      </c>
      <c r="Q49" s="1008">
        <v>0</v>
      </c>
      <c r="R49" s="410"/>
      <c r="S49" s="527">
        <v>0</v>
      </c>
      <c r="T49" s="527">
        <v>0</v>
      </c>
      <c r="U49" s="527">
        <v>0</v>
      </c>
      <c r="V49" s="527">
        <v>0</v>
      </c>
      <c r="W49" s="241">
        <v>0</v>
      </c>
      <c r="X49" s="241">
        <v>0</v>
      </c>
      <c r="Y49" s="515"/>
      <c r="Z49" s="240"/>
      <c r="AA49" s="515"/>
    </row>
    <row r="50" spans="6:18" ht="7.5" customHeight="1">
      <c r="F50" s="242"/>
      <c r="G50" s="242"/>
      <c r="H50" s="242"/>
      <c r="I50" s="242"/>
      <c r="J50" s="242"/>
      <c r="K50" s="242"/>
      <c r="N50" s="242"/>
      <c r="O50" s="242"/>
      <c r="P50" s="242"/>
      <c r="Q50" s="242"/>
      <c r="R50" s="242"/>
    </row>
    <row r="51" spans="1:18" ht="12.75">
      <c r="A51" s="1190" t="s">
        <v>221</v>
      </c>
      <c r="B51" s="1190"/>
      <c r="C51" s="1190"/>
      <c r="J51" s="159">
        <v>100213</v>
      </c>
      <c r="N51" s="242"/>
      <c r="O51" s="242"/>
      <c r="P51" s="242"/>
      <c r="Q51" s="242"/>
      <c r="R51" s="242"/>
    </row>
    <row r="52" spans="4:11" ht="12.75">
      <c r="D52" s="242">
        <v>0</v>
      </c>
      <c r="E52" s="242"/>
      <c r="F52" s="242"/>
      <c r="G52" s="242"/>
      <c r="H52" s="242"/>
      <c r="I52" s="242"/>
      <c r="J52" s="242"/>
      <c r="K52" s="242"/>
    </row>
  </sheetData>
  <sheetProtection/>
  <mergeCells count="7">
    <mergeCell ref="C1:S1"/>
    <mergeCell ref="A5:B5"/>
    <mergeCell ref="A3:S3"/>
    <mergeCell ref="A51:C51"/>
    <mergeCell ref="D5:K5"/>
    <mergeCell ref="L5:R5"/>
    <mergeCell ref="S5:Z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8"/>
  <sheetViews>
    <sheetView view="pageBreakPreview" zoomScale="60" workbookViewId="0" topLeftCell="A7">
      <selection activeCell="F13" sqref="F13"/>
    </sheetView>
  </sheetViews>
  <sheetFormatPr defaultColWidth="9.140625" defaultRowHeight="12.75"/>
  <cols>
    <col min="1" max="1" width="8.28125" style="336" customWidth="1"/>
    <col min="2" max="2" width="8.28125" style="330" customWidth="1"/>
    <col min="3" max="3" width="52.00390625" style="330" customWidth="1"/>
    <col min="4" max="4" width="13.28125" style="330" customWidth="1"/>
    <col min="5" max="5" width="11.28125" style="330" bestFit="1" customWidth="1"/>
    <col min="6" max="6" width="11.00390625" style="330" customWidth="1"/>
    <col min="7" max="9" width="8.28125" style="330" hidden="1" customWidth="1"/>
    <col min="10" max="10" width="9.8515625" style="330" hidden="1" customWidth="1"/>
    <col min="11" max="11" width="9.7109375" style="330" hidden="1" customWidth="1"/>
    <col min="12" max="12" width="13.7109375" style="330" customWidth="1"/>
    <col min="13" max="13" width="11.28125" style="330" bestFit="1" customWidth="1"/>
    <col min="14" max="14" width="14.00390625" style="330" customWidth="1"/>
    <col min="15" max="16" width="8.28125" style="330" hidden="1" customWidth="1"/>
    <col min="17" max="17" width="9.421875" style="330" hidden="1" customWidth="1"/>
    <col min="18" max="18" width="8.421875" style="330" hidden="1" customWidth="1"/>
    <col min="19" max="19" width="13.57421875" style="330" bestFit="1" customWidth="1"/>
    <col min="20" max="20" width="6.28125" style="330" customWidth="1"/>
    <col min="21" max="21" width="7.140625" style="330" customWidth="1"/>
    <col min="22" max="22" width="8.57421875" style="330" hidden="1" customWidth="1"/>
    <col min="23" max="23" width="9.140625" style="330" customWidth="1"/>
    <col min="24" max="16384" width="9.140625" style="330" customWidth="1"/>
  </cols>
  <sheetData>
    <row r="1" spans="1:19" s="151" customFormat="1" ht="21" customHeight="1">
      <c r="A1" s="147"/>
      <c r="B1" s="148"/>
      <c r="C1" s="149"/>
      <c r="D1" s="150"/>
      <c r="E1" s="150"/>
      <c r="F1" s="150"/>
      <c r="G1" s="150"/>
      <c r="H1" s="150"/>
      <c r="I1" s="150"/>
      <c r="J1" s="150"/>
      <c r="K1" s="150"/>
      <c r="L1" s="1186" t="s">
        <v>203</v>
      </c>
      <c r="M1" s="1186"/>
      <c r="N1" s="1186"/>
      <c r="O1" s="1186"/>
      <c r="P1" s="1186"/>
      <c r="Q1" s="1186"/>
      <c r="R1" s="1186"/>
      <c r="S1" s="1186"/>
    </row>
    <row r="2" spans="1:11" s="151" customFormat="1" ht="21" customHeight="1">
      <c r="A2" s="262"/>
      <c r="B2" s="148"/>
      <c r="C2" s="153"/>
      <c r="D2" s="152"/>
      <c r="E2" s="152"/>
      <c r="F2" s="152"/>
      <c r="G2" s="152"/>
      <c r="H2" s="152"/>
      <c r="I2" s="152"/>
      <c r="J2" s="152"/>
      <c r="K2" s="152"/>
    </row>
    <row r="3" spans="1:19" s="154" customFormat="1" ht="25.5" customHeight="1">
      <c r="A3" s="1189" t="s">
        <v>225</v>
      </c>
      <c r="B3" s="1189"/>
      <c r="C3" s="1189"/>
      <c r="D3" s="1189"/>
      <c r="E3" s="1189"/>
      <c r="F3" s="1189"/>
      <c r="G3" s="1189"/>
      <c r="H3" s="1189"/>
      <c r="I3" s="1189"/>
      <c r="J3" s="1189"/>
      <c r="K3" s="1189"/>
      <c r="L3" s="1189"/>
      <c r="M3" s="1189"/>
      <c r="N3" s="1189"/>
      <c r="O3" s="1189"/>
      <c r="P3" s="1189"/>
      <c r="Q3" s="1189"/>
      <c r="R3" s="1189"/>
      <c r="S3" s="1189"/>
    </row>
    <row r="4" spans="1:19" s="157" customFormat="1" ht="15.75" customHeight="1" thickBot="1">
      <c r="A4" s="155"/>
      <c r="B4" s="155"/>
      <c r="C4" s="155"/>
      <c r="S4" s="156" t="s">
        <v>543</v>
      </c>
    </row>
    <row r="5" spans="1:22" s="157" customFormat="1" ht="41.25" customHeight="1" thickBot="1">
      <c r="A5" s="155"/>
      <c r="B5" s="155"/>
      <c r="C5" s="155"/>
      <c r="D5" s="1196" t="s">
        <v>5</v>
      </c>
      <c r="E5" s="1197"/>
      <c r="F5" s="1197"/>
      <c r="G5" s="1197"/>
      <c r="H5" s="1197"/>
      <c r="I5" s="1197"/>
      <c r="J5" s="1197"/>
      <c r="K5" s="1198"/>
      <c r="L5" s="1196" t="s">
        <v>110</v>
      </c>
      <c r="M5" s="1197"/>
      <c r="N5" s="1197"/>
      <c r="O5" s="1197"/>
      <c r="P5" s="1197"/>
      <c r="Q5" s="1197"/>
      <c r="R5" s="1198"/>
      <c r="S5" s="1196" t="s">
        <v>158</v>
      </c>
      <c r="T5" s="1197"/>
      <c r="U5" s="1197"/>
      <c r="V5" s="1197"/>
    </row>
    <row r="6" spans="1:22" ht="24.75" thickBot="1">
      <c r="A6" s="1187" t="s">
        <v>112</v>
      </c>
      <c r="B6" s="1188"/>
      <c r="C6" s="528" t="s">
        <v>113</v>
      </c>
      <c r="D6" s="517" t="s">
        <v>70</v>
      </c>
      <c r="E6" s="158" t="s">
        <v>241</v>
      </c>
      <c r="F6" s="158" t="s">
        <v>244</v>
      </c>
      <c r="G6" s="158" t="s">
        <v>247</v>
      </c>
      <c r="H6" s="528" t="s">
        <v>263</v>
      </c>
      <c r="I6" s="528" t="s">
        <v>269</v>
      </c>
      <c r="J6" s="488" t="s">
        <v>251</v>
      </c>
      <c r="K6" s="487" t="s">
        <v>268</v>
      </c>
      <c r="L6" s="517" t="s">
        <v>70</v>
      </c>
      <c r="M6" s="158" t="s">
        <v>241</v>
      </c>
      <c r="N6" s="158" t="s">
        <v>244</v>
      </c>
      <c r="O6" s="158" t="s">
        <v>247</v>
      </c>
      <c r="P6" s="528" t="s">
        <v>263</v>
      </c>
      <c r="Q6" s="528" t="s">
        <v>269</v>
      </c>
      <c r="R6" s="488" t="s">
        <v>251</v>
      </c>
      <c r="S6" s="517" t="s">
        <v>70</v>
      </c>
      <c r="T6" s="158" t="s">
        <v>241</v>
      </c>
      <c r="U6" s="158" t="s">
        <v>244</v>
      </c>
      <c r="V6" s="487" t="s">
        <v>532</v>
      </c>
    </row>
    <row r="7" spans="1:22" s="163" customFormat="1" ht="12.75" customHeight="1" thickBot="1">
      <c r="A7" s="160">
        <v>1</v>
      </c>
      <c r="B7" s="161">
        <v>2</v>
      </c>
      <c r="C7" s="315">
        <v>3</v>
      </c>
      <c r="D7" s="160">
        <v>4</v>
      </c>
      <c r="E7" s="161">
        <v>5</v>
      </c>
      <c r="F7" s="161">
        <v>6</v>
      </c>
      <c r="G7" s="161">
        <v>7</v>
      </c>
      <c r="H7" s="315">
        <v>8</v>
      </c>
      <c r="I7" s="315">
        <v>9</v>
      </c>
      <c r="J7" s="162">
        <v>9</v>
      </c>
      <c r="K7" s="839">
        <v>9</v>
      </c>
      <c r="L7" s="160">
        <v>7</v>
      </c>
      <c r="M7" s="161">
        <v>8</v>
      </c>
      <c r="N7" s="161">
        <v>9</v>
      </c>
      <c r="O7" s="161">
        <v>13</v>
      </c>
      <c r="P7" s="315">
        <v>14</v>
      </c>
      <c r="Q7" s="162">
        <v>15</v>
      </c>
      <c r="R7" s="535">
        <v>15</v>
      </c>
      <c r="S7" s="160">
        <v>10</v>
      </c>
      <c r="T7" s="161">
        <v>11</v>
      </c>
      <c r="U7" s="162">
        <v>12</v>
      </c>
      <c r="V7" s="535">
        <v>18</v>
      </c>
    </row>
    <row r="8" spans="1:22" s="163" customFormat="1" ht="15.75" customHeight="1" thickBot="1">
      <c r="A8" s="164"/>
      <c r="B8" s="165"/>
      <c r="C8" s="165" t="s">
        <v>114</v>
      </c>
      <c r="D8" s="494"/>
      <c r="E8" s="494"/>
      <c r="F8" s="544"/>
      <c r="G8" s="544"/>
      <c r="H8" s="961"/>
      <c r="I8" s="961"/>
      <c r="J8" s="847"/>
      <c r="K8" s="840"/>
      <c r="L8" s="546"/>
      <c r="M8" s="494"/>
      <c r="N8" s="286"/>
      <c r="O8" s="286"/>
      <c r="P8" s="969"/>
      <c r="Q8" s="287"/>
      <c r="R8" s="536"/>
      <c r="S8" s="546"/>
      <c r="T8" s="286"/>
      <c r="U8" s="287"/>
      <c r="V8" s="536"/>
    </row>
    <row r="9" spans="1:22" s="169" customFormat="1" ht="12" customHeight="1" thickBot="1">
      <c r="A9" s="160" t="s">
        <v>30</v>
      </c>
      <c r="B9" s="166"/>
      <c r="C9" s="529" t="s">
        <v>359</v>
      </c>
      <c r="D9" s="495">
        <v>32771000</v>
      </c>
      <c r="E9" s="495">
        <v>32771000</v>
      </c>
      <c r="F9" s="495">
        <f>SUM(F10:F17)</f>
        <v>33488843</v>
      </c>
      <c r="G9" s="495"/>
      <c r="H9" s="495"/>
      <c r="I9" s="962"/>
      <c r="J9" s="410"/>
      <c r="K9" s="288"/>
      <c r="L9" s="495">
        <v>32771000</v>
      </c>
      <c r="M9" s="495">
        <v>32771000</v>
      </c>
      <c r="N9" s="495">
        <f>SUM(N10:N17)</f>
        <v>33488843</v>
      </c>
      <c r="O9" s="495"/>
      <c r="P9" s="495"/>
      <c r="Q9" s="962"/>
      <c r="R9" s="410" t="e">
        <f>Q9/P9</f>
        <v>#DIV/0!</v>
      </c>
      <c r="S9" s="495"/>
      <c r="T9" s="229"/>
      <c r="U9" s="168"/>
      <c r="V9" s="489"/>
    </row>
    <row r="10" spans="1:22" s="169" customFormat="1" ht="12" customHeight="1" thickBot="1">
      <c r="A10" s="170"/>
      <c r="B10" s="181" t="s">
        <v>39</v>
      </c>
      <c r="C10" s="1098" t="s">
        <v>602</v>
      </c>
      <c r="D10" s="1072"/>
      <c r="E10" s="1072"/>
      <c r="F10" s="1101">
        <v>9537000</v>
      </c>
      <c r="G10" s="1072"/>
      <c r="H10" s="1072"/>
      <c r="I10" s="1069"/>
      <c r="J10" s="1070"/>
      <c r="K10" s="1088"/>
      <c r="L10" s="1072"/>
      <c r="M10" s="1072"/>
      <c r="N10" s="1101">
        <v>9537000</v>
      </c>
      <c r="O10" s="1072"/>
      <c r="P10" s="1072"/>
      <c r="Q10" s="1069"/>
      <c r="R10" s="1070"/>
      <c r="S10" s="1072"/>
      <c r="T10" s="1067"/>
      <c r="U10" s="1071"/>
      <c r="V10" s="489"/>
    </row>
    <row r="11" spans="1:22" s="169" customFormat="1" ht="12" customHeight="1" thickBot="1">
      <c r="A11" s="172"/>
      <c r="B11" s="171" t="s">
        <v>40</v>
      </c>
      <c r="C11" s="1099" t="s">
        <v>357</v>
      </c>
      <c r="D11" s="1079"/>
      <c r="E11" s="1079"/>
      <c r="F11" s="1102">
        <v>5648017</v>
      </c>
      <c r="G11" s="1079"/>
      <c r="H11" s="1079"/>
      <c r="I11" s="1076"/>
      <c r="J11" s="1077"/>
      <c r="K11" s="1089"/>
      <c r="L11" s="1079"/>
      <c r="M11" s="1079"/>
      <c r="N11" s="1102">
        <v>5648017</v>
      </c>
      <c r="O11" s="1079"/>
      <c r="P11" s="1079"/>
      <c r="Q11" s="1076"/>
      <c r="R11" s="1077"/>
      <c r="S11" s="1079"/>
      <c r="T11" s="1074"/>
      <c r="U11" s="1078"/>
      <c r="V11" s="489"/>
    </row>
    <row r="12" spans="1:22" s="169" customFormat="1" ht="12" customHeight="1" thickBot="1">
      <c r="A12" s="172"/>
      <c r="B12" s="171" t="s">
        <v>41</v>
      </c>
      <c r="C12" s="1099" t="s">
        <v>604</v>
      </c>
      <c r="D12" s="1079"/>
      <c r="E12" s="1079"/>
      <c r="F12" s="1102">
        <v>1520000</v>
      </c>
      <c r="G12" s="1079"/>
      <c r="H12" s="1079"/>
      <c r="I12" s="1076"/>
      <c r="J12" s="1077"/>
      <c r="K12" s="1089"/>
      <c r="L12" s="1079"/>
      <c r="M12" s="1079"/>
      <c r="N12" s="1102">
        <v>1520000</v>
      </c>
      <c r="O12" s="1079"/>
      <c r="P12" s="1079"/>
      <c r="Q12" s="1076"/>
      <c r="R12" s="1077"/>
      <c r="S12" s="1079"/>
      <c r="T12" s="1074"/>
      <c r="U12" s="1078"/>
      <c r="V12" s="489"/>
    </row>
    <row r="13" spans="1:22" s="169" customFormat="1" ht="12" customHeight="1" thickBot="1">
      <c r="A13" s="172"/>
      <c r="B13" s="171" t="s">
        <v>52</v>
      </c>
      <c r="C13" s="1099" t="s">
        <v>605</v>
      </c>
      <c r="D13" s="1079"/>
      <c r="E13" s="1079"/>
      <c r="F13" s="1102">
        <v>10073000</v>
      </c>
      <c r="G13" s="1079"/>
      <c r="H13" s="1079"/>
      <c r="I13" s="1076"/>
      <c r="J13" s="1077"/>
      <c r="K13" s="1089"/>
      <c r="L13" s="1079"/>
      <c r="M13" s="1079"/>
      <c r="N13" s="1102">
        <v>10073000</v>
      </c>
      <c r="O13" s="1079"/>
      <c r="P13" s="1079"/>
      <c r="Q13" s="1076"/>
      <c r="R13" s="1077"/>
      <c r="S13" s="1079"/>
      <c r="T13" s="1074"/>
      <c r="U13" s="1078"/>
      <c r="V13" s="489"/>
    </row>
    <row r="14" spans="1:22" s="169" customFormat="1" ht="12" customHeight="1" thickBot="1">
      <c r="A14" s="172"/>
      <c r="B14" s="171" t="s">
        <v>53</v>
      </c>
      <c r="C14" s="1100" t="s">
        <v>606</v>
      </c>
      <c r="D14" s="1087"/>
      <c r="E14" s="1087"/>
      <c r="F14" s="1103">
        <v>6641000</v>
      </c>
      <c r="G14" s="1087"/>
      <c r="H14" s="1087"/>
      <c r="I14" s="1084"/>
      <c r="J14" s="1085"/>
      <c r="K14" s="1097"/>
      <c r="L14" s="1087"/>
      <c r="M14" s="1087"/>
      <c r="N14" s="1103">
        <v>6641000</v>
      </c>
      <c r="O14" s="1087"/>
      <c r="P14" s="1087"/>
      <c r="Q14" s="1084"/>
      <c r="R14" s="1085"/>
      <c r="S14" s="1087"/>
      <c r="T14" s="1082"/>
      <c r="U14" s="1086"/>
      <c r="V14" s="489"/>
    </row>
    <row r="15" spans="1:22" s="169" customFormat="1" ht="12" customHeight="1" thickBot="1">
      <c r="A15" s="172"/>
      <c r="B15" s="171" t="s">
        <v>607</v>
      </c>
      <c r="C15" s="1100" t="s">
        <v>332</v>
      </c>
      <c r="D15" s="1087"/>
      <c r="E15" s="1087"/>
      <c r="F15" s="1103">
        <v>1000</v>
      </c>
      <c r="G15" s="1087"/>
      <c r="H15" s="1087"/>
      <c r="I15" s="1084"/>
      <c r="J15" s="1085"/>
      <c r="K15" s="1097"/>
      <c r="L15" s="1087"/>
      <c r="M15" s="1087"/>
      <c r="N15" s="1103">
        <v>1000</v>
      </c>
      <c r="O15" s="1087"/>
      <c r="P15" s="1087"/>
      <c r="Q15" s="1084"/>
      <c r="R15" s="1085"/>
      <c r="S15" s="1087"/>
      <c r="T15" s="1082"/>
      <c r="U15" s="1086"/>
      <c r="V15" s="489"/>
    </row>
    <row r="16" spans="1:22" s="169" customFormat="1" ht="12" customHeight="1" thickBot="1">
      <c r="A16" s="172"/>
      <c r="B16" s="171" t="s">
        <v>608</v>
      </c>
      <c r="C16" s="1081" t="s">
        <v>603</v>
      </c>
      <c r="D16" s="1087"/>
      <c r="E16" s="1087"/>
      <c r="F16" s="1103">
        <v>68826</v>
      </c>
      <c r="G16" s="1087"/>
      <c r="H16" s="1087"/>
      <c r="I16" s="1084"/>
      <c r="J16" s="1085"/>
      <c r="K16" s="1097"/>
      <c r="L16" s="1087"/>
      <c r="M16" s="1087"/>
      <c r="N16" s="1103">
        <v>68826</v>
      </c>
      <c r="O16" s="1087"/>
      <c r="P16" s="1087"/>
      <c r="Q16" s="1084"/>
      <c r="R16" s="1085"/>
      <c r="S16" s="1087"/>
      <c r="T16" s="1082"/>
      <c r="U16" s="1086"/>
      <c r="V16" s="489"/>
    </row>
    <row r="17" spans="1:22" s="169" customFormat="1" ht="12" customHeight="1" thickBot="1">
      <c r="A17" s="1104"/>
      <c r="B17" s="1105"/>
      <c r="C17" s="1090"/>
      <c r="D17" s="1091"/>
      <c r="E17" s="1091"/>
      <c r="F17" s="1091"/>
      <c r="G17" s="1091"/>
      <c r="H17" s="1091"/>
      <c r="I17" s="1092"/>
      <c r="J17" s="1093"/>
      <c r="K17" s="1094"/>
      <c r="L17" s="1091"/>
      <c r="M17" s="1091"/>
      <c r="N17" s="1091"/>
      <c r="O17" s="1091"/>
      <c r="P17" s="1091"/>
      <c r="Q17" s="1092"/>
      <c r="R17" s="1093"/>
      <c r="S17" s="1091"/>
      <c r="T17" s="1095"/>
      <c r="U17" s="1096"/>
      <c r="V17" s="489"/>
    </row>
    <row r="18" spans="1:22" s="169" customFormat="1" ht="12" customHeight="1" thickBot="1">
      <c r="A18" s="160" t="s">
        <v>31</v>
      </c>
      <c r="B18" s="166"/>
      <c r="C18" s="529" t="s">
        <v>121</v>
      </c>
      <c r="D18" s="495">
        <f>D19+D21</f>
        <v>0</v>
      </c>
      <c r="E18" s="495">
        <f>E19+E21</f>
        <v>0</v>
      </c>
      <c r="F18" s="495">
        <f>F19+F21</f>
        <v>0</v>
      </c>
      <c r="G18" s="495">
        <f>G19+G21</f>
        <v>0</v>
      </c>
      <c r="H18" s="495">
        <f>H19+H21</f>
        <v>0</v>
      </c>
      <c r="I18" s="962"/>
      <c r="J18" s="410"/>
      <c r="K18" s="288">
        <f aca="true" t="shared" si="0" ref="K18:P18">K19+K21</f>
        <v>0</v>
      </c>
      <c r="L18" s="495">
        <f>L19+L21</f>
        <v>0</v>
      </c>
      <c r="M18" s="495">
        <f>M19+M21</f>
        <v>0</v>
      </c>
      <c r="N18" s="495">
        <f>N19+N21</f>
        <v>0</v>
      </c>
      <c r="O18" s="495">
        <f t="shared" si="0"/>
        <v>0</v>
      </c>
      <c r="P18" s="495">
        <f t="shared" si="0"/>
        <v>0</v>
      </c>
      <c r="Q18" s="962"/>
      <c r="R18" s="410"/>
      <c r="S18" s="495"/>
      <c r="T18" s="229"/>
      <c r="U18" s="168"/>
      <c r="V18" s="489"/>
    </row>
    <row r="19" spans="1:22" s="175" customFormat="1" ht="12" customHeight="1">
      <c r="A19" s="172"/>
      <c r="B19" s="171" t="s">
        <v>42</v>
      </c>
      <c r="C19" s="507" t="s">
        <v>77</v>
      </c>
      <c r="D19" s="497"/>
      <c r="E19" s="497"/>
      <c r="F19" s="497"/>
      <c r="G19" s="497"/>
      <c r="H19" s="497"/>
      <c r="I19" s="963"/>
      <c r="J19" s="804"/>
      <c r="K19" s="841"/>
      <c r="L19" s="497"/>
      <c r="M19" s="497"/>
      <c r="N19" s="497"/>
      <c r="O19" s="497"/>
      <c r="P19" s="497"/>
      <c r="Q19" s="963"/>
      <c r="R19" s="804"/>
      <c r="S19" s="497"/>
      <c r="T19" s="230"/>
      <c r="U19" s="174"/>
      <c r="V19" s="520"/>
    </row>
    <row r="20" spans="1:22" s="175" customFormat="1" ht="12" customHeight="1">
      <c r="A20" s="172"/>
      <c r="B20" s="171" t="s">
        <v>43</v>
      </c>
      <c r="C20" s="508" t="s">
        <v>124</v>
      </c>
      <c r="D20" s="497"/>
      <c r="E20" s="497"/>
      <c r="F20" s="497"/>
      <c r="G20" s="497"/>
      <c r="H20" s="497"/>
      <c r="I20" s="963"/>
      <c r="J20" s="804"/>
      <c r="K20" s="841"/>
      <c r="L20" s="497"/>
      <c r="M20" s="497"/>
      <c r="N20" s="497"/>
      <c r="O20" s="497"/>
      <c r="P20" s="497"/>
      <c r="Q20" s="963"/>
      <c r="R20" s="804"/>
      <c r="S20" s="497"/>
      <c r="T20" s="230"/>
      <c r="U20" s="174"/>
      <c r="V20" s="520"/>
    </row>
    <row r="21" spans="1:22" s="175" customFormat="1" ht="12" customHeight="1">
      <c r="A21" s="172"/>
      <c r="B21" s="171" t="s">
        <v>44</v>
      </c>
      <c r="C21" s="508" t="s">
        <v>78</v>
      </c>
      <c r="D21" s="497"/>
      <c r="E21" s="497"/>
      <c r="F21" s="497"/>
      <c r="G21" s="497"/>
      <c r="H21" s="497"/>
      <c r="I21" s="963"/>
      <c r="J21" s="804"/>
      <c r="K21" s="841"/>
      <c r="L21" s="497"/>
      <c r="M21" s="497"/>
      <c r="N21" s="497"/>
      <c r="O21" s="497"/>
      <c r="P21" s="497"/>
      <c r="Q21" s="963"/>
      <c r="R21" s="804"/>
      <c r="S21" s="497"/>
      <c r="T21" s="230"/>
      <c r="U21" s="174"/>
      <c r="V21" s="520"/>
    </row>
    <row r="22" spans="1:22" s="175" customFormat="1" ht="12" customHeight="1" thickBot="1">
      <c r="A22" s="172"/>
      <c r="B22" s="171" t="s">
        <v>291</v>
      </c>
      <c r="C22" s="508" t="s">
        <v>124</v>
      </c>
      <c r="D22" s="497"/>
      <c r="E22" s="497"/>
      <c r="F22" s="497"/>
      <c r="G22" s="497"/>
      <c r="H22" s="497"/>
      <c r="I22" s="963"/>
      <c r="J22" s="804"/>
      <c r="K22" s="841"/>
      <c r="L22" s="497"/>
      <c r="M22" s="497"/>
      <c r="N22" s="497"/>
      <c r="O22" s="497"/>
      <c r="P22" s="497"/>
      <c r="Q22" s="963"/>
      <c r="R22" s="804"/>
      <c r="S22" s="497"/>
      <c r="T22" s="230"/>
      <c r="U22" s="174"/>
      <c r="V22" s="520"/>
    </row>
    <row r="23" spans="1:22" s="175" customFormat="1" ht="12" customHeight="1" thickBot="1">
      <c r="A23" s="178" t="s">
        <v>10</v>
      </c>
      <c r="B23" s="179"/>
      <c r="C23" s="506" t="s">
        <v>127</v>
      </c>
      <c r="D23" s="495">
        <f aca="true" t="shared" si="1" ref="D23:I23">SUM(D24:D25)</f>
        <v>0</v>
      </c>
      <c r="E23" s="495">
        <f>SUM(E24:E25)</f>
        <v>0</v>
      </c>
      <c r="F23" s="495">
        <f>SUM(F24:F25)</f>
        <v>0</v>
      </c>
      <c r="G23" s="495">
        <f t="shared" si="1"/>
        <v>0</v>
      </c>
      <c r="H23" s="495">
        <f t="shared" si="1"/>
        <v>0</v>
      </c>
      <c r="I23" s="962">
        <f t="shared" si="1"/>
        <v>0</v>
      </c>
      <c r="J23" s="410"/>
      <c r="K23" s="288">
        <f aca="true" t="shared" si="2" ref="K23:P23">SUM(K24:K25)</f>
        <v>0</v>
      </c>
      <c r="L23" s="495">
        <f t="shared" si="2"/>
        <v>0</v>
      </c>
      <c r="M23" s="495">
        <f>SUM(M24:M25)</f>
        <v>0</v>
      </c>
      <c r="N23" s="495">
        <f>SUM(N24:N25)</f>
        <v>0</v>
      </c>
      <c r="O23" s="495">
        <f t="shared" si="2"/>
        <v>0</v>
      </c>
      <c r="P23" s="495">
        <f t="shared" si="2"/>
        <v>0</v>
      </c>
      <c r="Q23" s="962">
        <f>SUM(Q24:Q25)</f>
        <v>0</v>
      </c>
      <c r="R23" s="410"/>
      <c r="S23" s="495"/>
      <c r="T23" s="229"/>
      <c r="U23" s="168"/>
      <c r="V23" s="489"/>
    </row>
    <row r="24" spans="1:22" s="169" customFormat="1" ht="12" customHeight="1">
      <c r="A24" s="180"/>
      <c r="B24" s="181" t="s">
        <v>45</v>
      </c>
      <c r="C24" s="530" t="s">
        <v>129</v>
      </c>
      <c r="D24" s="498"/>
      <c r="E24" s="498"/>
      <c r="F24" s="498"/>
      <c r="G24" s="498"/>
      <c r="H24" s="498"/>
      <c r="I24" s="964"/>
      <c r="J24" s="805"/>
      <c r="K24" s="842"/>
      <c r="L24" s="498"/>
      <c r="M24" s="498"/>
      <c r="N24" s="498"/>
      <c r="O24" s="498"/>
      <c r="P24" s="498"/>
      <c r="Q24" s="964"/>
      <c r="R24" s="805"/>
      <c r="S24" s="498"/>
      <c r="T24" s="231"/>
      <c r="U24" s="183"/>
      <c r="V24" s="537"/>
    </row>
    <row r="25" spans="1:22" s="169" customFormat="1" ht="12" customHeight="1" thickBot="1">
      <c r="A25" s="184"/>
      <c r="B25" s="185" t="s">
        <v>46</v>
      </c>
      <c r="C25" s="531" t="s">
        <v>131</v>
      </c>
      <c r="D25" s="499"/>
      <c r="E25" s="499"/>
      <c r="F25" s="499"/>
      <c r="G25" s="499"/>
      <c r="H25" s="499"/>
      <c r="I25" s="965"/>
      <c r="J25" s="806"/>
      <c r="K25" s="843"/>
      <c r="L25" s="499"/>
      <c r="M25" s="499"/>
      <c r="N25" s="499"/>
      <c r="O25" s="499"/>
      <c r="P25" s="499"/>
      <c r="Q25" s="965"/>
      <c r="R25" s="806"/>
      <c r="S25" s="499"/>
      <c r="T25" s="232"/>
      <c r="U25" s="187"/>
      <c r="V25" s="538"/>
    </row>
    <row r="26" spans="1:22" s="169" customFormat="1" ht="12" customHeight="1" thickBot="1">
      <c r="A26" s="178"/>
      <c r="B26" s="166"/>
      <c r="D26" s="500"/>
      <c r="E26" s="500"/>
      <c r="F26" s="500"/>
      <c r="G26" s="500"/>
      <c r="H26" s="500"/>
      <c r="I26" s="966"/>
      <c r="J26" s="807"/>
      <c r="K26" s="285"/>
      <c r="L26" s="500"/>
      <c r="M26" s="500"/>
      <c r="N26" s="500"/>
      <c r="O26" s="500"/>
      <c r="P26" s="500"/>
      <c r="Q26" s="966"/>
      <c r="R26" s="807"/>
      <c r="S26" s="500"/>
      <c r="T26" s="233"/>
      <c r="U26" s="188"/>
      <c r="V26" s="490"/>
    </row>
    <row r="27" spans="1:22" s="169" customFormat="1" ht="12" customHeight="1" thickBot="1">
      <c r="A27" s="160" t="s">
        <v>11</v>
      </c>
      <c r="B27" s="189"/>
      <c r="C27" s="506" t="s">
        <v>292</v>
      </c>
      <c r="D27" s="495">
        <f aca="true" t="shared" si="3" ref="D27:I27">D9+D18+D23+D26</f>
        <v>32771000</v>
      </c>
      <c r="E27" s="495">
        <f>E9+E18+E23+E26</f>
        <v>32771000</v>
      </c>
      <c r="F27" s="495">
        <f>F9+F18+F23+F26</f>
        <v>33488843</v>
      </c>
      <c r="G27" s="495">
        <f t="shared" si="3"/>
        <v>0</v>
      </c>
      <c r="H27" s="495">
        <f t="shared" si="3"/>
        <v>0</v>
      </c>
      <c r="I27" s="495">
        <f t="shared" si="3"/>
        <v>0</v>
      </c>
      <c r="J27" s="410" t="e">
        <f>I27/H27</f>
        <v>#DIV/0!</v>
      </c>
      <c r="K27" s="288">
        <f aca="true" t="shared" si="4" ref="K27:Q27">K9+K18+K23+K26</f>
        <v>0</v>
      </c>
      <c r="L27" s="495">
        <f t="shared" si="4"/>
        <v>32771000</v>
      </c>
      <c r="M27" s="495">
        <f>M9+M18+M23+M26</f>
        <v>32771000</v>
      </c>
      <c r="N27" s="495">
        <f>N9+N18+N23+N26</f>
        <v>33488843</v>
      </c>
      <c r="O27" s="495">
        <f t="shared" si="4"/>
        <v>0</v>
      </c>
      <c r="P27" s="495">
        <f t="shared" si="4"/>
        <v>0</v>
      </c>
      <c r="Q27" s="495">
        <f t="shared" si="4"/>
        <v>0</v>
      </c>
      <c r="R27" s="410" t="e">
        <f>Q27/P27</f>
        <v>#DIV/0!</v>
      </c>
      <c r="S27" s="495"/>
      <c r="T27" s="229"/>
      <c r="U27" s="168"/>
      <c r="V27" s="489"/>
    </row>
    <row r="28" spans="1:22" s="175" customFormat="1" ht="12" customHeight="1" thickBot="1">
      <c r="A28" s="190" t="s">
        <v>12</v>
      </c>
      <c r="B28" s="191"/>
      <c r="C28" s="532" t="s">
        <v>293</v>
      </c>
      <c r="D28" s="501">
        <f aca="true" t="shared" si="5" ref="D28:I28">SUM(D29:D31)</f>
        <v>91740000</v>
      </c>
      <c r="E28" s="501">
        <f>SUM(E29:E31)</f>
        <v>91740000</v>
      </c>
      <c r="F28" s="501">
        <f>SUM(F29:F31)</f>
        <v>91739207</v>
      </c>
      <c r="G28" s="501">
        <f t="shared" si="5"/>
        <v>0</v>
      </c>
      <c r="H28" s="501">
        <f t="shared" si="5"/>
        <v>0</v>
      </c>
      <c r="I28" s="501">
        <f t="shared" si="5"/>
        <v>0</v>
      </c>
      <c r="J28" s="410" t="e">
        <f>I28/H28</f>
        <v>#DIV/0!</v>
      </c>
      <c r="K28" s="289">
        <f aca="true" t="shared" si="6" ref="K28:Q28">SUM(K29:K31)</f>
        <v>0</v>
      </c>
      <c r="L28" s="501">
        <f t="shared" si="6"/>
        <v>91740000</v>
      </c>
      <c r="M28" s="501">
        <f>SUM(M29:M31)</f>
        <v>91740000</v>
      </c>
      <c r="N28" s="501">
        <f>SUM(N29:N31)</f>
        <v>91739207</v>
      </c>
      <c r="O28" s="501">
        <f t="shared" si="6"/>
        <v>0</v>
      </c>
      <c r="P28" s="501">
        <f t="shared" si="6"/>
        <v>0</v>
      </c>
      <c r="Q28" s="501">
        <f t="shared" si="6"/>
        <v>0</v>
      </c>
      <c r="R28" s="410" t="e">
        <f>Q28/P28</f>
        <v>#DIV/0!</v>
      </c>
      <c r="S28" s="495"/>
      <c r="T28" s="229"/>
      <c r="U28" s="168"/>
      <c r="V28" s="489"/>
    </row>
    <row r="29" spans="1:22" s="175" customFormat="1" ht="15" customHeight="1" thickBot="1">
      <c r="A29" s="170"/>
      <c r="B29" s="193" t="s">
        <v>47</v>
      </c>
      <c r="C29" s="530" t="s">
        <v>136</v>
      </c>
      <c r="D29" s="498">
        <v>817181</v>
      </c>
      <c r="E29" s="498">
        <v>817181</v>
      </c>
      <c r="F29" s="498">
        <f>817181-793</f>
        <v>816388</v>
      </c>
      <c r="G29" s="498"/>
      <c r="H29" s="498"/>
      <c r="I29" s="964"/>
      <c r="J29" s="838"/>
      <c r="K29" s="842"/>
      <c r="L29" s="498">
        <v>817181</v>
      </c>
      <c r="M29" s="498">
        <v>817181</v>
      </c>
      <c r="N29" s="498">
        <f>817181-793</f>
        <v>816388</v>
      </c>
      <c r="O29" s="498"/>
      <c r="P29" s="498"/>
      <c r="Q29" s="964"/>
      <c r="R29" s="838" t="e">
        <f>Q29/P29</f>
        <v>#DIV/0!</v>
      </c>
      <c r="S29" s="504"/>
      <c r="T29" s="505"/>
      <c r="U29" s="290"/>
      <c r="V29" s="539"/>
    </row>
    <row r="30" spans="1:22" s="175" customFormat="1" ht="15" customHeight="1">
      <c r="A30" s="653"/>
      <c r="B30" s="654" t="s">
        <v>48</v>
      </c>
      <c r="C30" s="530" t="s">
        <v>544</v>
      </c>
      <c r="D30" s="655">
        <v>90922819</v>
      </c>
      <c r="E30" s="655">
        <v>90922819</v>
      </c>
      <c r="F30" s="655">
        <v>90922819</v>
      </c>
      <c r="G30" s="655"/>
      <c r="H30" s="655"/>
      <c r="I30" s="967"/>
      <c r="J30" s="838"/>
      <c r="K30" s="844"/>
      <c r="L30" s="655">
        <v>90922819</v>
      </c>
      <c r="M30" s="655">
        <v>90922819</v>
      </c>
      <c r="N30" s="655">
        <v>90922819</v>
      </c>
      <c r="O30" s="655"/>
      <c r="P30" s="655"/>
      <c r="Q30" s="967"/>
      <c r="R30" s="838" t="e">
        <f>Q30/P30</f>
        <v>#DIV/0!</v>
      </c>
      <c r="S30" s="657"/>
      <c r="T30" s="658"/>
      <c r="U30" s="659"/>
      <c r="V30" s="660"/>
    </row>
    <row r="31" spans="1:22" s="175" customFormat="1" ht="15" customHeight="1" thickBot="1">
      <c r="A31" s="194"/>
      <c r="B31" s="195" t="s">
        <v>76</v>
      </c>
      <c r="C31" s="533" t="s">
        <v>138</v>
      </c>
      <c r="D31" s="502"/>
      <c r="E31" s="502"/>
      <c r="F31" s="502"/>
      <c r="G31" s="502"/>
      <c r="H31" s="502"/>
      <c r="I31" s="968"/>
      <c r="J31" s="808"/>
      <c r="K31" s="845"/>
      <c r="L31" s="502"/>
      <c r="M31" s="502"/>
      <c r="N31" s="502"/>
      <c r="O31" s="502"/>
      <c r="P31" s="502"/>
      <c r="Q31" s="968"/>
      <c r="R31" s="808"/>
      <c r="S31" s="502"/>
      <c r="T31" s="235"/>
      <c r="U31" s="197"/>
      <c r="V31" s="540"/>
    </row>
    <row r="32" spans="1:22" ht="13.5" thickBot="1">
      <c r="A32" s="198" t="s">
        <v>13</v>
      </c>
      <c r="B32" s="331"/>
      <c r="C32" s="510" t="s">
        <v>139</v>
      </c>
      <c r="D32" s="500"/>
      <c r="E32" s="500"/>
      <c r="F32" s="500"/>
      <c r="G32" s="500"/>
      <c r="H32" s="500"/>
      <c r="I32" s="966"/>
      <c r="J32" s="807"/>
      <c r="K32" s="285"/>
      <c r="L32" s="500"/>
      <c r="M32" s="500"/>
      <c r="N32" s="500"/>
      <c r="O32" s="500"/>
      <c r="P32" s="500"/>
      <c r="Q32" s="966"/>
      <c r="R32" s="807"/>
      <c r="S32" s="500"/>
      <c r="T32" s="233"/>
      <c r="U32" s="188"/>
      <c r="V32" s="490"/>
    </row>
    <row r="33" spans="1:22" s="163" customFormat="1" ht="16.5" customHeight="1" thickBot="1">
      <c r="A33" s="198">
        <v>7</v>
      </c>
      <c r="B33" s="332"/>
      <c r="C33" s="534" t="s">
        <v>295</v>
      </c>
      <c r="D33" s="503">
        <f aca="true" t="shared" si="7" ref="D33:I33">D27+D32+D28</f>
        <v>124511000</v>
      </c>
      <c r="E33" s="503">
        <f>E27+E32+E28</f>
        <v>124511000</v>
      </c>
      <c r="F33" s="503">
        <f>F27+F32+F28</f>
        <v>125228050</v>
      </c>
      <c r="G33" s="503">
        <f t="shared" si="7"/>
        <v>0</v>
      </c>
      <c r="H33" s="503">
        <f t="shared" si="7"/>
        <v>0</v>
      </c>
      <c r="I33" s="503">
        <f t="shared" si="7"/>
        <v>0</v>
      </c>
      <c r="J33" s="410" t="e">
        <f>I33/H33</f>
        <v>#DIV/0!</v>
      </c>
      <c r="K33" s="291">
        <f aca="true" t="shared" si="8" ref="K33:Q33">K27+K32+K28</f>
        <v>0</v>
      </c>
      <c r="L33" s="503">
        <f t="shared" si="8"/>
        <v>124511000</v>
      </c>
      <c r="M33" s="503">
        <f>M27+M32+M28</f>
        <v>124511000</v>
      </c>
      <c r="N33" s="503">
        <f>N27+N32+N28</f>
        <v>125228050</v>
      </c>
      <c r="O33" s="503">
        <f t="shared" si="8"/>
        <v>0</v>
      </c>
      <c r="P33" s="503">
        <f t="shared" si="8"/>
        <v>0</v>
      </c>
      <c r="Q33" s="503">
        <f t="shared" si="8"/>
        <v>0</v>
      </c>
      <c r="R33" s="410" t="e">
        <f>Q33/P33</f>
        <v>#DIV/0!</v>
      </c>
      <c r="S33" s="503"/>
      <c r="T33" s="236"/>
      <c r="U33" s="221"/>
      <c r="V33" s="203"/>
    </row>
    <row r="34" spans="1:21" s="207" customFormat="1" ht="12" customHeight="1">
      <c r="A34" s="204"/>
      <c r="B34" s="204"/>
      <c r="C34" s="205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</row>
    <row r="35" spans="1:21" ht="12" customHeight="1" thickBot="1">
      <c r="A35" s="208"/>
      <c r="B35" s="209"/>
      <c r="C35" s="209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</row>
    <row r="36" spans="1:22" ht="12" customHeight="1" thickBot="1">
      <c r="A36" s="211"/>
      <c r="B36" s="212"/>
      <c r="C36" s="213" t="s">
        <v>141</v>
      </c>
      <c r="D36" s="503"/>
      <c r="E36" s="503"/>
      <c r="F36" s="236"/>
      <c r="G36" s="236"/>
      <c r="H36" s="236"/>
      <c r="I36" s="236"/>
      <c r="J36" s="236"/>
      <c r="K36" s="221"/>
      <c r="L36" s="503"/>
      <c r="M36" s="503"/>
      <c r="N36" s="236"/>
      <c r="O36" s="236"/>
      <c r="P36" s="236"/>
      <c r="Q36" s="236"/>
      <c r="R36" s="221"/>
      <c r="S36" s="503"/>
      <c r="T36" s="236"/>
      <c r="U36" s="221"/>
      <c r="V36" s="203"/>
    </row>
    <row r="37" spans="1:22" ht="12" customHeight="1" thickBot="1">
      <c r="A37" s="178" t="s">
        <v>30</v>
      </c>
      <c r="B37" s="214"/>
      <c r="C37" s="506" t="s">
        <v>142</v>
      </c>
      <c r="D37" s="495">
        <f aca="true" t="shared" si="9" ref="D37:I37">SUM(D38:D42)</f>
        <v>123044000</v>
      </c>
      <c r="E37" s="495">
        <f t="shared" si="9"/>
        <v>123044000</v>
      </c>
      <c r="F37" s="495">
        <f>SUM(F38:F42)</f>
        <v>123761050</v>
      </c>
      <c r="G37" s="495">
        <f t="shared" si="9"/>
        <v>0</v>
      </c>
      <c r="H37" s="495">
        <f t="shared" si="9"/>
        <v>0</v>
      </c>
      <c r="I37" s="495">
        <f t="shared" si="9"/>
        <v>0</v>
      </c>
      <c r="J37" s="410" t="e">
        <f>I37/H37</f>
        <v>#DIV/0!</v>
      </c>
      <c r="K37" s="489">
        <f aca="true" t="shared" si="10" ref="K37:Q37">SUM(K38:K42)</f>
        <v>0</v>
      </c>
      <c r="L37" s="495">
        <f t="shared" si="10"/>
        <v>123044000</v>
      </c>
      <c r="M37" s="495">
        <f t="shared" si="10"/>
        <v>123044000</v>
      </c>
      <c r="N37" s="495">
        <f t="shared" si="10"/>
        <v>123761050</v>
      </c>
      <c r="O37" s="495">
        <f t="shared" si="10"/>
        <v>0</v>
      </c>
      <c r="P37" s="495">
        <f t="shared" si="10"/>
        <v>0</v>
      </c>
      <c r="Q37" s="495">
        <f t="shared" si="10"/>
        <v>0</v>
      </c>
      <c r="R37" s="410" t="e">
        <f>Q37/P37</f>
        <v>#DIV/0!</v>
      </c>
      <c r="S37" s="495"/>
      <c r="T37" s="229"/>
      <c r="U37" s="168"/>
      <c r="V37" s="489"/>
    </row>
    <row r="38" spans="1:22" ht="12" customHeight="1">
      <c r="A38" s="215"/>
      <c r="B38" s="216" t="s">
        <v>116</v>
      </c>
      <c r="C38" s="507" t="s">
        <v>143</v>
      </c>
      <c r="D38" s="513">
        <v>60521000</v>
      </c>
      <c r="E38" s="513">
        <v>60521000</v>
      </c>
      <c r="F38" s="513">
        <v>60521000</v>
      </c>
      <c r="G38" s="513"/>
      <c r="H38" s="513"/>
      <c r="I38" s="237"/>
      <c r="J38" s="805"/>
      <c r="K38" s="836"/>
      <c r="L38" s="513">
        <v>60521000</v>
      </c>
      <c r="M38" s="513">
        <v>60521000</v>
      </c>
      <c r="N38" s="513">
        <v>60521000</v>
      </c>
      <c r="O38" s="513"/>
      <c r="P38" s="513"/>
      <c r="Q38" s="237"/>
      <c r="R38" s="805" t="e">
        <f>Q38/P38</f>
        <v>#DIV/0!</v>
      </c>
      <c r="S38" s="497"/>
      <c r="T38" s="230"/>
      <c r="U38" s="174"/>
      <c r="V38" s="520"/>
    </row>
    <row r="39" spans="1:22" ht="12" customHeight="1">
      <c r="A39" s="217"/>
      <c r="B39" s="218" t="s">
        <v>117</v>
      </c>
      <c r="C39" s="508" t="s">
        <v>54</v>
      </c>
      <c r="D39" s="514">
        <v>16449000</v>
      </c>
      <c r="E39" s="514">
        <v>16449000</v>
      </c>
      <c r="F39" s="514">
        <v>16449000</v>
      </c>
      <c r="G39" s="514"/>
      <c r="H39" s="514"/>
      <c r="I39" s="238"/>
      <c r="J39" s="838"/>
      <c r="K39" s="521"/>
      <c r="L39" s="514">
        <v>16449000</v>
      </c>
      <c r="M39" s="514">
        <v>16449000</v>
      </c>
      <c r="N39" s="514">
        <v>16449000</v>
      </c>
      <c r="O39" s="514"/>
      <c r="P39" s="514"/>
      <c r="Q39" s="238"/>
      <c r="R39" s="838" t="e">
        <f>Q39/P39</f>
        <v>#DIV/0!</v>
      </c>
      <c r="S39" s="497"/>
      <c r="T39" s="230"/>
      <c r="U39" s="174"/>
      <c r="V39" s="520"/>
    </row>
    <row r="40" spans="1:22" ht="12" customHeight="1">
      <c r="A40" s="217"/>
      <c r="B40" s="218" t="s">
        <v>118</v>
      </c>
      <c r="C40" s="508" t="s">
        <v>144</v>
      </c>
      <c r="D40" s="514">
        <v>46074000</v>
      </c>
      <c r="E40" s="514">
        <v>46074000</v>
      </c>
      <c r="F40" s="514">
        <f>46074000+717050</f>
        <v>46791050</v>
      </c>
      <c r="G40" s="514"/>
      <c r="H40" s="514"/>
      <c r="I40" s="238"/>
      <c r="J40" s="838"/>
      <c r="K40" s="521"/>
      <c r="L40" s="514">
        <v>46074000</v>
      </c>
      <c r="M40" s="514">
        <v>46074000</v>
      </c>
      <c r="N40" s="514">
        <f>46074000+717050</f>
        <v>46791050</v>
      </c>
      <c r="O40" s="514"/>
      <c r="P40" s="514"/>
      <c r="Q40" s="238"/>
      <c r="R40" s="838" t="e">
        <f>Q40/P40</f>
        <v>#DIV/0!</v>
      </c>
      <c r="S40" s="497"/>
      <c r="T40" s="230"/>
      <c r="U40" s="174"/>
      <c r="V40" s="520"/>
    </row>
    <row r="41" spans="1:22" s="207" customFormat="1" ht="12" customHeight="1">
      <c r="A41" s="217"/>
      <c r="B41" s="218" t="s">
        <v>119</v>
      </c>
      <c r="C41" s="508" t="s">
        <v>86</v>
      </c>
      <c r="D41" s="514"/>
      <c r="E41" s="514"/>
      <c r="F41" s="514"/>
      <c r="G41" s="514"/>
      <c r="H41" s="514"/>
      <c r="I41" s="238"/>
      <c r="J41" s="238"/>
      <c r="K41" s="521"/>
      <c r="L41" s="514"/>
      <c r="M41" s="514"/>
      <c r="N41" s="514"/>
      <c r="O41" s="514"/>
      <c r="P41" s="514"/>
      <c r="Q41" s="238"/>
      <c r="R41" s="238"/>
      <c r="S41" s="497"/>
      <c r="T41" s="230"/>
      <c r="U41" s="174"/>
      <c r="V41" s="520"/>
    </row>
    <row r="42" spans="1:22" ht="12" customHeight="1" thickBot="1">
      <c r="A42" s="217"/>
      <c r="B42" s="218" t="s">
        <v>53</v>
      </c>
      <c r="C42" s="508" t="s">
        <v>88</v>
      </c>
      <c r="D42" s="514"/>
      <c r="E42" s="514"/>
      <c r="F42" s="514"/>
      <c r="G42" s="514"/>
      <c r="H42" s="514"/>
      <c r="I42" s="238"/>
      <c r="J42" s="838"/>
      <c r="K42" s="521"/>
      <c r="L42" s="514"/>
      <c r="M42" s="514"/>
      <c r="N42" s="514"/>
      <c r="O42" s="514"/>
      <c r="P42" s="514"/>
      <c r="Q42" s="238"/>
      <c r="R42" s="838" t="e">
        <f>P42/O42</f>
        <v>#DIV/0!</v>
      </c>
      <c r="S42" s="514"/>
      <c r="T42" s="238"/>
      <c r="U42" s="219"/>
      <c r="V42" s="521"/>
    </row>
    <row r="43" spans="1:22" ht="12" customHeight="1" thickBot="1">
      <c r="A43" s="178" t="s">
        <v>31</v>
      </c>
      <c r="B43" s="214"/>
      <c r="C43" s="506" t="s">
        <v>145</v>
      </c>
      <c r="D43" s="495">
        <f aca="true" t="shared" si="11" ref="D43:I43">SUM(D44:D48)</f>
        <v>1467000</v>
      </c>
      <c r="E43" s="495">
        <f>SUM(E44:E48)</f>
        <v>1467000</v>
      </c>
      <c r="F43" s="495">
        <f>SUM(F44:F48)</f>
        <v>1467000</v>
      </c>
      <c r="G43" s="495">
        <f t="shared" si="11"/>
        <v>0</v>
      </c>
      <c r="H43" s="495">
        <f t="shared" si="11"/>
        <v>0</v>
      </c>
      <c r="I43" s="495">
        <f t="shared" si="11"/>
        <v>0</v>
      </c>
      <c r="J43" s="410" t="e">
        <f>I43/H43</f>
        <v>#DIV/0!</v>
      </c>
      <c r="K43" s="489">
        <f aca="true" t="shared" si="12" ref="K43:Q43">SUM(K44:K48)</f>
        <v>0</v>
      </c>
      <c r="L43" s="495">
        <f t="shared" si="12"/>
        <v>1467000</v>
      </c>
      <c r="M43" s="495">
        <f>SUM(M44:M48)</f>
        <v>1467000</v>
      </c>
      <c r="N43" s="495">
        <f>SUM(N44:N48)</f>
        <v>1467000</v>
      </c>
      <c r="O43" s="495">
        <f t="shared" si="12"/>
        <v>0</v>
      </c>
      <c r="P43" s="495">
        <f t="shared" si="12"/>
        <v>0</v>
      </c>
      <c r="Q43" s="495">
        <f t="shared" si="12"/>
        <v>0</v>
      </c>
      <c r="R43" s="410" t="e">
        <f>Q43/P43</f>
        <v>#DIV/0!</v>
      </c>
      <c r="S43" s="495"/>
      <c r="T43" s="229"/>
      <c r="U43" s="168"/>
      <c r="V43" s="489"/>
    </row>
    <row r="44" spans="1:22" ht="12" customHeight="1">
      <c r="A44" s="215"/>
      <c r="B44" s="216" t="s">
        <v>146</v>
      </c>
      <c r="C44" s="507" t="s">
        <v>98</v>
      </c>
      <c r="D44" s="513">
        <v>1467000</v>
      </c>
      <c r="E44" s="513">
        <v>1467000</v>
      </c>
      <c r="F44" s="513">
        <v>1467000</v>
      </c>
      <c r="G44" s="513"/>
      <c r="H44" s="513"/>
      <c r="I44" s="237"/>
      <c r="J44" s="805"/>
      <c r="K44" s="836"/>
      <c r="L44" s="513">
        <v>1467000</v>
      </c>
      <c r="M44" s="513">
        <v>1467000</v>
      </c>
      <c r="N44" s="513">
        <v>1467000</v>
      </c>
      <c r="O44" s="513"/>
      <c r="P44" s="513"/>
      <c r="Q44" s="237"/>
      <c r="R44" s="805" t="e">
        <f>Q44/P44</f>
        <v>#DIV/0!</v>
      </c>
      <c r="S44" s="497"/>
      <c r="T44" s="230"/>
      <c r="U44" s="174"/>
      <c r="V44" s="520"/>
    </row>
    <row r="45" spans="1:22" ht="12" customHeight="1">
      <c r="A45" s="215"/>
      <c r="B45" s="216"/>
      <c r="C45" s="507" t="s">
        <v>375</v>
      </c>
      <c r="D45" s="513"/>
      <c r="E45" s="513"/>
      <c r="F45" s="513"/>
      <c r="G45" s="513"/>
      <c r="H45" s="513"/>
      <c r="I45" s="237"/>
      <c r="J45" s="237"/>
      <c r="K45" s="836"/>
      <c r="L45" s="513"/>
      <c r="M45" s="513"/>
      <c r="N45" s="513"/>
      <c r="O45" s="513"/>
      <c r="P45" s="513"/>
      <c r="Q45" s="237"/>
      <c r="R45" s="237"/>
      <c r="S45" s="497"/>
      <c r="T45" s="230"/>
      <c r="U45" s="174"/>
      <c r="V45" s="520"/>
    </row>
    <row r="46" spans="1:22" ht="12" customHeight="1">
      <c r="A46" s="217"/>
      <c r="B46" s="218" t="s">
        <v>147</v>
      </c>
      <c r="C46" s="508" t="s">
        <v>99</v>
      </c>
      <c r="D46" s="514"/>
      <c r="E46" s="514"/>
      <c r="F46" s="514"/>
      <c r="G46" s="514"/>
      <c r="H46" s="514"/>
      <c r="I46" s="238"/>
      <c r="J46" s="238"/>
      <c r="K46" s="521"/>
      <c r="L46" s="514"/>
      <c r="M46" s="514"/>
      <c r="N46" s="514"/>
      <c r="O46" s="514"/>
      <c r="P46" s="514"/>
      <c r="Q46" s="238"/>
      <c r="R46" s="238"/>
      <c r="S46" s="514"/>
      <c r="T46" s="238"/>
      <c r="U46" s="219"/>
      <c r="V46" s="521"/>
    </row>
    <row r="47" spans="1:22" ht="15" customHeight="1">
      <c r="A47" s="217"/>
      <c r="B47" s="218" t="s">
        <v>44</v>
      </c>
      <c r="C47" s="508" t="s">
        <v>149</v>
      </c>
      <c r="D47" s="514"/>
      <c r="E47" s="514"/>
      <c r="F47" s="514"/>
      <c r="G47" s="514"/>
      <c r="H47" s="514"/>
      <c r="I47" s="238"/>
      <c r="J47" s="238"/>
      <c r="K47" s="521"/>
      <c r="L47" s="514"/>
      <c r="M47" s="514"/>
      <c r="N47" s="514"/>
      <c r="O47" s="514"/>
      <c r="P47" s="514"/>
      <c r="Q47" s="238"/>
      <c r="R47" s="238"/>
      <c r="S47" s="514"/>
      <c r="T47" s="238"/>
      <c r="U47" s="219"/>
      <c r="V47" s="521"/>
    </row>
    <row r="48" spans="1:22" ht="13.5" thickBot="1">
      <c r="A48" s="217"/>
      <c r="B48" s="218" t="s">
        <v>291</v>
      </c>
      <c r="C48" s="508" t="s">
        <v>151</v>
      </c>
      <c r="D48" s="514"/>
      <c r="E48" s="514"/>
      <c r="F48" s="514"/>
      <c r="G48" s="514"/>
      <c r="H48" s="514"/>
      <c r="I48" s="238"/>
      <c r="J48" s="238"/>
      <c r="K48" s="521"/>
      <c r="L48" s="514"/>
      <c r="M48" s="514"/>
      <c r="N48" s="514"/>
      <c r="O48" s="514"/>
      <c r="P48" s="514"/>
      <c r="Q48" s="238"/>
      <c r="R48" s="238"/>
      <c r="S48" s="514"/>
      <c r="T48" s="238"/>
      <c r="U48" s="219"/>
      <c r="V48" s="521"/>
    </row>
    <row r="49" spans="1:22" ht="15" customHeight="1" thickBot="1">
      <c r="A49" s="178" t="s">
        <v>10</v>
      </c>
      <c r="B49" s="214"/>
      <c r="C49" s="509" t="s">
        <v>152</v>
      </c>
      <c r="D49" s="500"/>
      <c r="E49" s="500"/>
      <c r="F49" s="500"/>
      <c r="G49" s="500"/>
      <c r="H49" s="500"/>
      <c r="I49" s="233"/>
      <c r="J49" s="233"/>
      <c r="K49" s="490"/>
      <c r="L49" s="500"/>
      <c r="M49" s="500"/>
      <c r="N49" s="500"/>
      <c r="O49" s="500"/>
      <c r="P49" s="500"/>
      <c r="Q49" s="233"/>
      <c r="R49" s="233"/>
      <c r="S49" s="500"/>
      <c r="T49" s="233"/>
      <c r="U49" s="188"/>
      <c r="V49" s="490"/>
    </row>
    <row r="50" spans="1:22" ht="14.25" customHeight="1" thickBot="1">
      <c r="A50" s="198" t="s">
        <v>11</v>
      </c>
      <c r="B50" s="331"/>
      <c r="C50" s="510" t="s">
        <v>153</v>
      </c>
      <c r="D50" s="500"/>
      <c r="E50" s="500"/>
      <c r="F50" s="500"/>
      <c r="G50" s="500"/>
      <c r="H50" s="500"/>
      <c r="I50" s="233"/>
      <c r="J50" s="233"/>
      <c r="K50" s="490"/>
      <c r="L50" s="500"/>
      <c r="M50" s="500"/>
      <c r="N50" s="500"/>
      <c r="O50" s="500"/>
      <c r="P50" s="500"/>
      <c r="Q50" s="233"/>
      <c r="R50" s="233"/>
      <c r="S50" s="500"/>
      <c r="T50" s="233"/>
      <c r="U50" s="188"/>
      <c r="V50" s="490"/>
    </row>
    <row r="51" spans="1:22" ht="13.5" thickBot="1">
      <c r="A51" s="178">
        <v>5</v>
      </c>
      <c r="B51" s="220"/>
      <c r="C51" s="511" t="s">
        <v>296</v>
      </c>
      <c r="D51" s="503">
        <f aca="true" t="shared" si="13" ref="D51:I51">D37+D43+D49+D50</f>
        <v>124511000</v>
      </c>
      <c r="E51" s="503">
        <f t="shared" si="13"/>
        <v>124511000</v>
      </c>
      <c r="F51" s="503">
        <f>F37+F43+F49+F50</f>
        <v>125228050</v>
      </c>
      <c r="G51" s="503">
        <f t="shared" si="13"/>
        <v>0</v>
      </c>
      <c r="H51" s="503">
        <f t="shared" si="13"/>
        <v>0</v>
      </c>
      <c r="I51" s="503">
        <f t="shared" si="13"/>
        <v>0</v>
      </c>
      <c r="J51" s="410" t="e">
        <f>I51/H51</f>
        <v>#DIV/0!</v>
      </c>
      <c r="K51" s="203">
        <f aca="true" t="shared" si="14" ref="K51:Q51">K37+K43+K49+K50</f>
        <v>0</v>
      </c>
      <c r="L51" s="503">
        <f t="shared" si="14"/>
        <v>124511000</v>
      </c>
      <c r="M51" s="503">
        <f t="shared" si="14"/>
        <v>124511000</v>
      </c>
      <c r="N51" s="503">
        <f t="shared" si="14"/>
        <v>125228050</v>
      </c>
      <c r="O51" s="503">
        <f t="shared" si="14"/>
        <v>0</v>
      </c>
      <c r="P51" s="503">
        <f t="shared" si="14"/>
        <v>0</v>
      </c>
      <c r="Q51" s="503">
        <f t="shared" si="14"/>
        <v>0</v>
      </c>
      <c r="R51" s="410" t="e">
        <f>Q51/P51</f>
        <v>#DIV/0!</v>
      </c>
      <c r="S51" s="503"/>
      <c r="T51" s="236"/>
      <c r="U51" s="221"/>
      <c r="V51" s="203"/>
    </row>
    <row r="52" spans="1:22" ht="13.5" thickBot="1">
      <c r="A52" s="333"/>
      <c r="B52" s="334"/>
      <c r="C52" s="334"/>
      <c r="D52" s="547"/>
      <c r="E52" s="547"/>
      <c r="F52" s="547"/>
      <c r="G52" s="547"/>
      <c r="H52" s="548"/>
      <c r="I52" s="548"/>
      <c r="J52" s="548"/>
      <c r="K52" s="846"/>
      <c r="L52" s="547"/>
      <c r="M52" s="547"/>
      <c r="N52" s="547"/>
      <c r="O52" s="547"/>
      <c r="P52" s="548"/>
      <c r="Q52" s="548"/>
      <c r="R52" s="548"/>
      <c r="S52" s="547"/>
      <c r="T52" s="548"/>
      <c r="U52" s="549"/>
      <c r="V52" s="335"/>
    </row>
    <row r="53" spans="1:22" ht="13.5" thickBot="1">
      <c r="A53" s="224" t="s">
        <v>155</v>
      </c>
      <c r="B53" s="225"/>
      <c r="C53" s="512"/>
      <c r="D53" s="527">
        <v>23</v>
      </c>
      <c r="E53" s="527">
        <v>23</v>
      </c>
      <c r="F53" s="527">
        <v>23</v>
      </c>
      <c r="G53" s="527">
        <v>25</v>
      </c>
      <c r="H53" s="241">
        <v>22</v>
      </c>
      <c r="I53" s="241">
        <v>23</v>
      </c>
      <c r="J53" s="410">
        <f>I53/H53</f>
        <v>1.0454545454545454</v>
      </c>
      <c r="K53" s="240"/>
      <c r="L53" s="527">
        <v>23</v>
      </c>
      <c r="M53" s="527">
        <v>23</v>
      </c>
      <c r="N53" s="527">
        <v>23</v>
      </c>
      <c r="O53" s="527">
        <v>25</v>
      </c>
      <c r="P53" s="241">
        <v>22</v>
      </c>
      <c r="Q53" s="241">
        <v>23</v>
      </c>
      <c r="R53" s="410">
        <f>Q53/P53</f>
        <v>1.0454545454545454</v>
      </c>
      <c r="S53" s="527"/>
      <c r="T53" s="241"/>
      <c r="U53" s="515"/>
      <c r="V53" s="240"/>
    </row>
    <row r="54" spans="1:22" ht="13.5" thickBot="1">
      <c r="A54" s="224" t="s">
        <v>156</v>
      </c>
      <c r="B54" s="225"/>
      <c r="C54" s="512"/>
      <c r="D54" s="527">
        <v>0</v>
      </c>
      <c r="E54" s="527">
        <v>0</v>
      </c>
      <c r="F54" s="527">
        <v>0</v>
      </c>
      <c r="G54" s="527">
        <v>0</v>
      </c>
      <c r="H54" s="241">
        <v>0</v>
      </c>
      <c r="I54" s="241">
        <v>0</v>
      </c>
      <c r="J54" s="410"/>
      <c r="K54" s="240"/>
      <c r="L54" s="527">
        <v>0</v>
      </c>
      <c r="M54" s="527">
        <v>0</v>
      </c>
      <c r="N54" s="527">
        <v>0</v>
      </c>
      <c r="O54" s="527">
        <v>0</v>
      </c>
      <c r="P54" s="241">
        <v>0</v>
      </c>
      <c r="Q54" s="241">
        <v>0</v>
      </c>
      <c r="R54" s="410"/>
      <c r="S54" s="527"/>
      <c r="T54" s="241"/>
      <c r="U54" s="515"/>
      <c r="V54" s="240"/>
    </row>
    <row r="55" spans="6:11" ht="12.75">
      <c r="F55" s="337"/>
      <c r="G55" s="337"/>
      <c r="H55" s="337"/>
      <c r="I55" s="337"/>
      <c r="J55" s="337"/>
      <c r="K55" s="337"/>
    </row>
    <row r="56" spans="1:11" ht="12.75">
      <c r="A56" s="1190" t="s">
        <v>157</v>
      </c>
      <c r="B56" s="1190"/>
      <c r="C56" s="1190"/>
      <c r="D56" s="1190"/>
      <c r="E56" s="314"/>
      <c r="F56" s="314"/>
      <c r="G56" s="793"/>
      <c r="H56" s="793"/>
      <c r="I56" s="793"/>
      <c r="J56" s="314"/>
      <c r="K56" s="314"/>
    </row>
    <row r="57" spans="1:3" ht="12.75">
      <c r="A57" s="1190"/>
      <c r="B57" s="1190"/>
      <c r="C57" s="1190"/>
    </row>
    <row r="58" spans="4:11" ht="12.75">
      <c r="D58" s="337">
        <v>0</v>
      </c>
      <c r="E58" s="337"/>
      <c r="F58" s="337"/>
      <c r="G58" s="337">
        <f>G56-G57</f>
        <v>0</v>
      </c>
      <c r="H58" s="337"/>
      <c r="I58" s="337"/>
      <c r="J58" s="337"/>
      <c r="K58" s="337"/>
    </row>
  </sheetData>
  <sheetProtection/>
  <mergeCells count="8">
    <mergeCell ref="A3:S3"/>
    <mergeCell ref="L1:S1"/>
    <mergeCell ref="A57:C57"/>
    <mergeCell ref="A56:D56"/>
    <mergeCell ref="A6:B6"/>
    <mergeCell ref="D5:K5"/>
    <mergeCell ref="L5:R5"/>
    <mergeCell ref="S5:V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Q18"/>
  <sheetViews>
    <sheetView view="pageBreakPreview" zoomScale="60" zoomScalePageLayoutView="0" workbookViewId="0" topLeftCell="C1">
      <selection activeCell="BC12" sqref="BC12"/>
    </sheetView>
  </sheetViews>
  <sheetFormatPr defaultColWidth="9.140625" defaultRowHeight="12.75"/>
  <cols>
    <col min="1" max="1" width="48.28125" style="42" customWidth="1"/>
    <col min="2" max="3" width="14.8515625" style="22" customWidth="1"/>
    <col min="4" max="4" width="20.57421875" style="22" customWidth="1"/>
    <col min="5" max="5" width="14.8515625" style="22" customWidth="1"/>
    <col min="6" max="7" width="14.8515625" style="22" hidden="1" customWidth="1"/>
    <col min="8" max="8" width="20.421875" style="22" hidden="1" customWidth="1"/>
    <col min="9" max="9" width="14.8515625" style="22" hidden="1" customWidth="1"/>
    <col min="10" max="10" width="18.421875" style="22" hidden="1" customWidth="1"/>
    <col min="11" max="11" width="9.28125" style="22" hidden="1" customWidth="1"/>
    <col min="12" max="13" width="10.57421875" style="22" hidden="1" customWidth="1"/>
    <col min="14" max="14" width="14.7109375" style="22" hidden="1" customWidth="1"/>
    <col min="15" max="17" width="10.421875" style="22" hidden="1" customWidth="1"/>
    <col min="18" max="18" width="14.57421875" style="22" hidden="1" customWidth="1"/>
    <col min="19" max="19" width="11.00390625" style="22" hidden="1" customWidth="1"/>
    <col min="20" max="21" width="10.421875" style="22" hidden="1" customWidth="1"/>
    <col min="22" max="23" width="9.28125" style="22" hidden="1" customWidth="1"/>
    <col min="24" max="25" width="17.421875" style="22" hidden="1" customWidth="1"/>
    <col min="26" max="26" width="19.421875" style="22" hidden="1" customWidth="1"/>
    <col min="27" max="31" width="0" style="22" hidden="1" customWidth="1"/>
    <col min="32" max="32" width="12.57421875" style="22" hidden="1" customWidth="1"/>
    <col min="33" max="34" width="17.140625" style="22" hidden="1" customWidth="1"/>
    <col min="35" max="35" width="13.8515625" style="22" hidden="1" customWidth="1"/>
    <col min="36" max="36" width="14.57421875" style="22" customWidth="1"/>
    <col min="37" max="38" width="16.140625" style="22" customWidth="1"/>
    <col min="39" max="39" width="14.140625" style="22" customWidth="1"/>
    <col min="40" max="41" width="10.421875" style="22" bestFit="1" customWidth="1"/>
    <col min="42" max="43" width="9.28125" style="22" bestFit="1" customWidth="1"/>
    <col min="44" max="16384" width="9.140625" style="22" customWidth="1"/>
  </cols>
  <sheetData>
    <row r="2" spans="4:9" ht="12.75">
      <c r="D2" s="1210" t="s">
        <v>204</v>
      </c>
      <c r="E2" s="1210"/>
      <c r="F2" s="390"/>
      <c r="G2" s="390"/>
      <c r="H2" s="390"/>
      <c r="I2" s="390"/>
    </row>
    <row r="4" spans="1:9" ht="19.5">
      <c r="A4" s="1211" t="s">
        <v>555</v>
      </c>
      <c r="B4" s="1211"/>
      <c r="C4" s="1211"/>
      <c r="D4" s="1211"/>
      <c r="E4" s="1211"/>
      <c r="F4" s="391"/>
      <c r="G4" s="391"/>
      <c r="H4" s="391"/>
      <c r="I4" s="391"/>
    </row>
    <row r="5" spans="1:9" ht="19.5">
      <c r="A5" s="391"/>
      <c r="B5" s="391"/>
      <c r="C5" s="391"/>
      <c r="D5" s="391"/>
      <c r="E5" s="391"/>
      <c r="F5" s="391"/>
      <c r="G5" s="391"/>
      <c r="H5" s="391"/>
      <c r="I5" s="391"/>
    </row>
    <row r="6" spans="2:11" ht="20.25" customHeight="1" thickBot="1">
      <c r="B6" s="1212" t="s">
        <v>5</v>
      </c>
      <c r="C6" s="1212"/>
      <c r="D6" s="1212"/>
      <c r="E6" s="1212"/>
      <c r="F6" s="1212"/>
      <c r="G6" s="1212"/>
      <c r="H6" s="1212"/>
      <c r="I6" s="1212"/>
      <c r="J6" s="1205" t="s">
        <v>250</v>
      </c>
      <c r="K6" s="1205"/>
    </row>
    <row r="7" spans="1:43" ht="36.75" customHeight="1">
      <c r="A7" s="1206" t="s">
        <v>4</v>
      </c>
      <c r="B7" s="1199" t="s">
        <v>556</v>
      </c>
      <c r="C7" s="1200"/>
      <c r="D7" s="1200"/>
      <c r="E7" s="1201"/>
      <c r="F7" s="1213" t="s">
        <v>266</v>
      </c>
      <c r="G7" s="1200"/>
      <c r="H7" s="1200"/>
      <c r="I7" s="1201"/>
      <c r="J7" s="1208" t="s">
        <v>255</v>
      </c>
      <c r="K7" s="1209"/>
      <c r="L7" s="1199" t="s">
        <v>492</v>
      </c>
      <c r="M7" s="1200"/>
      <c r="N7" s="1200"/>
      <c r="O7" s="1201"/>
      <c r="P7" s="1199" t="s">
        <v>250</v>
      </c>
      <c r="Q7" s="1200"/>
      <c r="R7" s="1200"/>
      <c r="S7" s="1201"/>
      <c r="T7" s="1199" t="s">
        <v>491</v>
      </c>
      <c r="U7" s="1200"/>
      <c r="V7" s="1200"/>
      <c r="W7" s="1201"/>
      <c r="X7" s="1199" t="s">
        <v>519</v>
      </c>
      <c r="Y7" s="1200"/>
      <c r="Z7" s="1200"/>
      <c r="AA7" s="1201"/>
      <c r="AB7" s="1199" t="s">
        <v>520</v>
      </c>
      <c r="AC7" s="1200"/>
      <c r="AD7" s="1200"/>
      <c r="AE7" s="1201"/>
      <c r="AF7" s="1199" t="s">
        <v>533</v>
      </c>
      <c r="AG7" s="1200"/>
      <c r="AH7" s="1200"/>
      <c r="AI7" s="1201"/>
      <c r="AJ7" s="1199" t="s">
        <v>587</v>
      </c>
      <c r="AK7" s="1200"/>
      <c r="AL7" s="1200"/>
      <c r="AM7" s="1201"/>
      <c r="AN7" s="1199" t="s">
        <v>591</v>
      </c>
      <c r="AO7" s="1200"/>
      <c r="AP7" s="1200"/>
      <c r="AQ7" s="1201"/>
    </row>
    <row r="8" spans="1:43" ht="41.25" customHeight="1" thickBot="1">
      <c r="A8" s="1207"/>
      <c r="B8" s="27" t="s">
        <v>32</v>
      </c>
      <c r="C8" s="27" t="s">
        <v>212</v>
      </c>
      <c r="D8" s="27" t="s">
        <v>213</v>
      </c>
      <c r="E8" s="28" t="s">
        <v>1</v>
      </c>
      <c r="F8" s="574" t="s">
        <v>32</v>
      </c>
      <c r="G8" s="27" t="s">
        <v>212</v>
      </c>
      <c r="H8" s="27" t="s">
        <v>213</v>
      </c>
      <c r="I8" s="28" t="s">
        <v>1</v>
      </c>
      <c r="J8" s="403" t="s">
        <v>250</v>
      </c>
      <c r="K8" s="404" t="s">
        <v>251</v>
      </c>
      <c r="L8" s="27" t="s">
        <v>32</v>
      </c>
      <c r="M8" s="27" t="s">
        <v>212</v>
      </c>
      <c r="N8" s="27" t="s">
        <v>213</v>
      </c>
      <c r="O8" s="28" t="s">
        <v>1</v>
      </c>
      <c r="P8" s="27" t="s">
        <v>32</v>
      </c>
      <c r="Q8" s="27" t="s">
        <v>212</v>
      </c>
      <c r="R8" s="27" t="s">
        <v>213</v>
      </c>
      <c r="S8" s="28" t="s">
        <v>1</v>
      </c>
      <c r="T8" s="27" t="s">
        <v>32</v>
      </c>
      <c r="U8" s="27" t="s">
        <v>212</v>
      </c>
      <c r="V8" s="27" t="s">
        <v>213</v>
      </c>
      <c r="W8" s="28" t="s">
        <v>1</v>
      </c>
      <c r="X8" s="27" t="s">
        <v>32</v>
      </c>
      <c r="Y8" s="27" t="s">
        <v>212</v>
      </c>
      <c r="Z8" s="27" t="s">
        <v>213</v>
      </c>
      <c r="AA8" s="28" t="s">
        <v>1</v>
      </c>
      <c r="AB8" s="27" t="s">
        <v>32</v>
      </c>
      <c r="AC8" s="27" t="s">
        <v>212</v>
      </c>
      <c r="AD8" s="27" t="s">
        <v>213</v>
      </c>
      <c r="AE8" s="28" t="s">
        <v>1</v>
      </c>
      <c r="AF8" s="27" t="s">
        <v>32</v>
      </c>
      <c r="AG8" s="27" t="s">
        <v>212</v>
      </c>
      <c r="AH8" s="27" t="s">
        <v>213</v>
      </c>
      <c r="AI8" s="28" t="s">
        <v>1</v>
      </c>
      <c r="AJ8" s="27" t="s">
        <v>32</v>
      </c>
      <c r="AK8" s="27" t="s">
        <v>212</v>
      </c>
      <c r="AL8" s="27" t="s">
        <v>213</v>
      </c>
      <c r="AM8" s="28" t="s">
        <v>1</v>
      </c>
      <c r="AN8" s="27" t="s">
        <v>32</v>
      </c>
      <c r="AO8" s="27" t="s">
        <v>212</v>
      </c>
      <c r="AP8" s="27" t="s">
        <v>213</v>
      </c>
      <c r="AQ8" s="28" t="s">
        <v>1</v>
      </c>
    </row>
    <row r="9" spans="1:43" ht="30" customHeight="1">
      <c r="A9" s="23" t="s">
        <v>222</v>
      </c>
      <c r="B9" s="144">
        <v>19</v>
      </c>
      <c r="C9" s="144">
        <v>1</v>
      </c>
      <c r="D9" s="145">
        <v>2</v>
      </c>
      <c r="E9" s="306">
        <f>SUM(B9:C9)</f>
        <v>20</v>
      </c>
      <c r="F9" s="575"/>
      <c r="G9" s="144"/>
      <c r="H9" s="145"/>
      <c r="I9" s="305"/>
      <c r="J9" s="401"/>
      <c r="K9" s="402">
        <f>J9/E9</f>
        <v>0</v>
      </c>
      <c r="L9" s="144"/>
      <c r="M9" s="144"/>
      <c r="N9" s="145"/>
      <c r="O9" s="306"/>
      <c r="P9" s="144">
        <v>19</v>
      </c>
      <c r="Q9" s="144">
        <v>1.75</v>
      </c>
      <c r="R9" s="145">
        <v>2</v>
      </c>
      <c r="S9" s="306">
        <f>SUM(P9:Q9)</f>
        <v>20.75</v>
      </c>
      <c r="T9" s="144"/>
      <c r="U9" s="144"/>
      <c r="V9" s="145"/>
      <c r="W9" s="306">
        <f>SUM(T9:U9)</f>
        <v>0</v>
      </c>
      <c r="X9" s="144"/>
      <c r="Y9" s="144"/>
      <c r="Z9" s="145"/>
      <c r="AA9" s="306">
        <f>SUM(X9:Y9)</f>
        <v>0</v>
      </c>
      <c r="AB9" s="144">
        <v>18</v>
      </c>
      <c r="AC9" s="144">
        <v>1</v>
      </c>
      <c r="AD9" s="145">
        <v>2</v>
      </c>
      <c r="AE9" s="306">
        <f>SUM(AB9:AC9)</f>
        <v>19</v>
      </c>
      <c r="AF9" s="144"/>
      <c r="AG9" s="144"/>
      <c r="AH9" s="145"/>
      <c r="AI9" s="306">
        <f>SUM(AF9:AG9)</f>
        <v>0</v>
      </c>
      <c r="AJ9" s="144">
        <v>19</v>
      </c>
      <c r="AK9" s="144">
        <v>1</v>
      </c>
      <c r="AL9" s="145">
        <v>2</v>
      </c>
      <c r="AM9" s="306">
        <f>SUM(AJ9:AK9)</f>
        <v>20</v>
      </c>
      <c r="AN9" s="144">
        <v>19</v>
      </c>
      <c r="AO9" s="144">
        <v>1</v>
      </c>
      <c r="AP9" s="145">
        <v>2</v>
      </c>
      <c r="AQ9" s="306">
        <f>SUM(AN9:AO9)</f>
        <v>20</v>
      </c>
    </row>
    <row r="10" spans="1:43" ht="30" customHeight="1">
      <c r="A10" s="23" t="s">
        <v>223</v>
      </c>
      <c r="B10" s="144">
        <v>3</v>
      </c>
      <c r="C10" s="144">
        <v>4.5</v>
      </c>
      <c r="D10" s="144">
        <v>0</v>
      </c>
      <c r="E10" s="306">
        <f>SUM(B10:C10)</f>
        <v>7.5</v>
      </c>
      <c r="F10" s="575"/>
      <c r="G10" s="144"/>
      <c r="H10" s="144"/>
      <c r="I10" s="306"/>
      <c r="J10" s="399"/>
      <c r="K10" s="400">
        <f>J10/E10</f>
        <v>0</v>
      </c>
      <c r="L10" s="144"/>
      <c r="M10" s="144"/>
      <c r="N10" s="144"/>
      <c r="O10" s="306"/>
      <c r="P10" s="144">
        <v>3</v>
      </c>
      <c r="Q10" s="144">
        <v>6.5</v>
      </c>
      <c r="R10" s="144">
        <v>0</v>
      </c>
      <c r="S10" s="306">
        <f>SUM(P10:Q10)</f>
        <v>9.5</v>
      </c>
      <c r="T10" s="144"/>
      <c r="U10" s="144"/>
      <c r="V10" s="144"/>
      <c r="W10" s="306">
        <f>SUM(T10:U10)</f>
        <v>0</v>
      </c>
      <c r="X10" s="144"/>
      <c r="Y10" s="144"/>
      <c r="Z10" s="144"/>
      <c r="AA10" s="306">
        <f>SUM(X10:Y10)</f>
        <v>0</v>
      </c>
      <c r="AB10" s="144">
        <v>3</v>
      </c>
      <c r="AC10" s="144">
        <v>4.5</v>
      </c>
      <c r="AD10" s="144">
        <v>0</v>
      </c>
      <c r="AE10" s="306">
        <f>SUM(AB10:AC10)</f>
        <v>7.5</v>
      </c>
      <c r="AF10" s="144"/>
      <c r="AG10" s="144"/>
      <c r="AH10" s="144"/>
      <c r="AI10" s="306">
        <f>SUM(AF10:AG10)</f>
        <v>0</v>
      </c>
      <c r="AJ10" s="144">
        <v>3</v>
      </c>
      <c r="AK10" s="144">
        <v>4.5</v>
      </c>
      <c r="AL10" s="144">
        <v>0</v>
      </c>
      <c r="AM10" s="306">
        <f>SUM(AJ10:AK10)</f>
        <v>7.5</v>
      </c>
      <c r="AN10" s="144">
        <v>3</v>
      </c>
      <c r="AO10" s="144">
        <v>4.5</v>
      </c>
      <c r="AP10" s="144">
        <v>0</v>
      </c>
      <c r="AQ10" s="306">
        <f>SUM(AN10:AO10)</f>
        <v>7.5</v>
      </c>
    </row>
    <row r="11" spans="1:43" ht="30" customHeight="1" thickBot="1">
      <c r="A11" s="143" t="s">
        <v>224</v>
      </c>
      <c r="B11" s="146">
        <v>14</v>
      </c>
      <c r="C11" s="146">
        <v>8</v>
      </c>
      <c r="D11" s="146">
        <v>3</v>
      </c>
      <c r="E11" s="306">
        <f>SUM(B11:C11)</f>
        <v>22</v>
      </c>
      <c r="F11" s="576"/>
      <c r="G11" s="146"/>
      <c r="H11" s="146"/>
      <c r="I11" s="307"/>
      <c r="J11" s="405"/>
      <c r="K11" s="406">
        <f>J11/E11</f>
        <v>0</v>
      </c>
      <c r="L11" s="146"/>
      <c r="M11" s="146"/>
      <c r="N11" s="146"/>
      <c r="O11" s="306"/>
      <c r="P11" s="146">
        <v>15</v>
      </c>
      <c r="Q11" s="146">
        <v>12</v>
      </c>
      <c r="R11" s="146">
        <v>3</v>
      </c>
      <c r="S11" s="306">
        <f>SUM(P11:Q11)</f>
        <v>27</v>
      </c>
      <c r="T11" s="146"/>
      <c r="U11" s="146"/>
      <c r="V11" s="146"/>
      <c r="W11" s="306">
        <f>SUM(T11:U11)</f>
        <v>0</v>
      </c>
      <c r="X11" s="146"/>
      <c r="Y11" s="146"/>
      <c r="Z11" s="146"/>
      <c r="AA11" s="306">
        <f>SUM(X11:Y11)</f>
        <v>0</v>
      </c>
      <c r="AB11" s="146">
        <v>15</v>
      </c>
      <c r="AC11" s="146">
        <v>10</v>
      </c>
      <c r="AD11" s="146">
        <v>3</v>
      </c>
      <c r="AE11" s="306">
        <f>SUM(AB11:AC11)</f>
        <v>25</v>
      </c>
      <c r="AF11" s="146"/>
      <c r="AG11" s="146"/>
      <c r="AH11" s="146"/>
      <c r="AI11" s="306">
        <f>SUM(AF11:AG11)</f>
        <v>0</v>
      </c>
      <c r="AJ11" s="146">
        <v>14</v>
      </c>
      <c r="AK11" s="146">
        <v>8</v>
      </c>
      <c r="AL11" s="146">
        <v>3</v>
      </c>
      <c r="AM11" s="306">
        <f>SUM(AJ11:AK11)</f>
        <v>22</v>
      </c>
      <c r="AN11" s="146">
        <v>14</v>
      </c>
      <c r="AO11" s="146">
        <v>9</v>
      </c>
      <c r="AP11" s="146">
        <v>3</v>
      </c>
      <c r="AQ11" s="306">
        <f>SUM(AN11:AO11)</f>
        <v>23</v>
      </c>
    </row>
    <row r="12" spans="1:43" ht="54.75" customHeight="1" thickBot="1">
      <c r="A12" s="142" t="s">
        <v>28</v>
      </c>
      <c r="B12" s="263">
        <f aca="true" t="shared" si="0" ref="B12:J12">SUM(B9:B11)</f>
        <v>36</v>
      </c>
      <c r="C12" s="263">
        <f t="shared" si="0"/>
        <v>13.5</v>
      </c>
      <c r="D12" s="263">
        <f t="shared" si="0"/>
        <v>5</v>
      </c>
      <c r="E12" s="308">
        <f t="shared" si="0"/>
        <v>49.5</v>
      </c>
      <c r="F12" s="577">
        <f t="shared" si="0"/>
        <v>0</v>
      </c>
      <c r="G12" s="263">
        <f t="shared" si="0"/>
        <v>0</v>
      </c>
      <c r="H12" s="263">
        <f t="shared" si="0"/>
        <v>0</v>
      </c>
      <c r="I12" s="308">
        <f t="shared" si="0"/>
        <v>0</v>
      </c>
      <c r="J12" s="407">
        <f t="shared" si="0"/>
        <v>0</v>
      </c>
      <c r="K12" s="408">
        <f>J12/E12</f>
        <v>0</v>
      </c>
      <c r="L12" s="263">
        <f aca="true" t="shared" si="1" ref="L12:AA12">SUM(L9:L11)</f>
        <v>0</v>
      </c>
      <c r="M12" s="263">
        <f t="shared" si="1"/>
        <v>0</v>
      </c>
      <c r="N12" s="263">
        <f t="shared" si="1"/>
        <v>0</v>
      </c>
      <c r="O12" s="308">
        <f t="shared" si="1"/>
        <v>0</v>
      </c>
      <c r="P12" s="263">
        <f t="shared" si="1"/>
        <v>37</v>
      </c>
      <c r="Q12" s="263">
        <f t="shared" si="1"/>
        <v>20.25</v>
      </c>
      <c r="R12" s="263">
        <f t="shared" si="1"/>
        <v>5</v>
      </c>
      <c r="S12" s="308">
        <f t="shared" si="1"/>
        <v>57.25</v>
      </c>
      <c r="T12" s="263">
        <f t="shared" si="1"/>
        <v>0</v>
      </c>
      <c r="U12" s="263">
        <f t="shared" si="1"/>
        <v>0</v>
      </c>
      <c r="V12" s="263">
        <f t="shared" si="1"/>
        <v>0</v>
      </c>
      <c r="W12" s="308">
        <f t="shared" si="1"/>
        <v>0</v>
      </c>
      <c r="X12" s="263">
        <f t="shared" si="1"/>
        <v>0</v>
      </c>
      <c r="Y12" s="263">
        <f t="shared" si="1"/>
        <v>0</v>
      </c>
      <c r="Z12" s="263">
        <f t="shared" si="1"/>
        <v>0</v>
      </c>
      <c r="AA12" s="308">
        <f t="shared" si="1"/>
        <v>0</v>
      </c>
      <c r="AB12" s="263">
        <f aca="true" t="shared" si="2" ref="AB12:AM12">SUM(AB9:AB11)</f>
        <v>36</v>
      </c>
      <c r="AC12" s="263">
        <f t="shared" si="2"/>
        <v>15.5</v>
      </c>
      <c r="AD12" s="263">
        <f t="shared" si="2"/>
        <v>5</v>
      </c>
      <c r="AE12" s="308">
        <f t="shared" si="2"/>
        <v>51.5</v>
      </c>
      <c r="AF12" s="263">
        <f t="shared" si="2"/>
        <v>0</v>
      </c>
      <c r="AG12" s="263">
        <f t="shared" si="2"/>
        <v>0</v>
      </c>
      <c r="AH12" s="263">
        <f t="shared" si="2"/>
        <v>0</v>
      </c>
      <c r="AI12" s="308">
        <f t="shared" si="2"/>
        <v>0</v>
      </c>
      <c r="AJ12" s="263">
        <f t="shared" si="2"/>
        <v>36</v>
      </c>
      <c r="AK12" s="263">
        <f t="shared" si="2"/>
        <v>13.5</v>
      </c>
      <c r="AL12" s="263">
        <f t="shared" si="2"/>
        <v>5</v>
      </c>
      <c r="AM12" s="308">
        <f t="shared" si="2"/>
        <v>49.5</v>
      </c>
      <c r="AN12" s="263">
        <f>SUM(AN9:AN11)</f>
        <v>36</v>
      </c>
      <c r="AO12" s="263">
        <f>SUM(AO9:AO11)</f>
        <v>14.5</v>
      </c>
      <c r="AP12" s="263">
        <f>SUM(AP9:AP11)</f>
        <v>5</v>
      </c>
      <c r="AQ12" s="308">
        <f>SUM(AQ9:AQ11)</f>
        <v>50.5</v>
      </c>
    </row>
    <row r="13" ht="13.5" thickBot="1">
      <c r="K13" s="398"/>
    </row>
    <row r="14" spans="1:43" ht="30.75" customHeight="1" thickBot="1">
      <c r="A14" s="1214" t="s">
        <v>55</v>
      </c>
      <c r="B14" s="1215"/>
      <c r="C14" s="1215"/>
      <c r="D14" s="1216"/>
      <c r="E14" s="309">
        <v>16</v>
      </c>
      <c r="F14" s="309">
        <v>27</v>
      </c>
      <c r="G14" s="309">
        <v>27</v>
      </c>
      <c r="H14" s="309">
        <v>27</v>
      </c>
      <c r="I14" s="309">
        <v>27</v>
      </c>
      <c r="J14" s="309">
        <v>27</v>
      </c>
      <c r="K14" s="309">
        <v>27</v>
      </c>
      <c r="L14" s="1202"/>
      <c r="M14" s="1203"/>
      <c r="N14" s="1204"/>
      <c r="O14" s="309"/>
      <c r="P14" s="1202"/>
      <c r="Q14" s="1203"/>
      <c r="R14" s="1204"/>
      <c r="S14" s="309">
        <v>15</v>
      </c>
      <c r="T14" s="1202"/>
      <c r="U14" s="1203"/>
      <c r="V14" s="1204"/>
      <c r="W14" s="309"/>
      <c r="X14" s="1202"/>
      <c r="Y14" s="1203"/>
      <c r="Z14" s="1204"/>
      <c r="AA14" s="309"/>
      <c r="AB14" s="1202"/>
      <c r="AC14" s="1203"/>
      <c r="AD14" s="1204"/>
      <c r="AE14" s="309">
        <v>11</v>
      </c>
      <c r="AF14" s="1202"/>
      <c r="AG14" s="1203"/>
      <c r="AH14" s="1204"/>
      <c r="AI14" s="309"/>
      <c r="AJ14" s="1202"/>
      <c r="AK14" s="1203"/>
      <c r="AL14" s="1204"/>
      <c r="AM14" s="309">
        <v>17</v>
      </c>
      <c r="AN14" s="1202"/>
      <c r="AO14" s="1203"/>
      <c r="AP14" s="1204"/>
      <c r="AQ14" s="309">
        <v>17</v>
      </c>
    </row>
    <row r="16" ht="12.75">
      <c r="A16" s="42" t="s">
        <v>111</v>
      </c>
    </row>
    <row r="18" spans="5:9" ht="12.75">
      <c r="E18" s="304"/>
      <c r="F18" s="304"/>
      <c r="G18" s="304"/>
      <c r="H18" s="304"/>
      <c r="I18" s="304"/>
    </row>
  </sheetData>
  <sheetProtection/>
  <mergeCells count="25">
    <mergeCell ref="AN7:AQ7"/>
    <mergeCell ref="AN14:AP14"/>
    <mergeCell ref="D2:E2"/>
    <mergeCell ref="B7:E7"/>
    <mergeCell ref="A4:E4"/>
    <mergeCell ref="B6:I6"/>
    <mergeCell ref="F7:I7"/>
    <mergeCell ref="A14:D14"/>
    <mergeCell ref="P14:R14"/>
    <mergeCell ref="P7:S7"/>
    <mergeCell ref="J6:K6"/>
    <mergeCell ref="L7:O7"/>
    <mergeCell ref="A7:A8"/>
    <mergeCell ref="J7:K7"/>
    <mergeCell ref="X7:AA7"/>
    <mergeCell ref="X14:Z14"/>
    <mergeCell ref="L14:N14"/>
    <mergeCell ref="AJ7:AM7"/>
    <mergeCell ref="AJ14:AL14"/>
    <mergeCell ref="AF7:AI7"/>
    <mergeCell ref="AF14:AH14"/>
    <mergeCell ref="T7:W7"/>
    <mergeCell ref="T14:V14"/>
    <mergeCell ref="AB7:AE7"/>
    <mergeCell ref="AB14:AD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view="pageBreakPreview" zoomScale="60" zoomScaleNormal="70" workbookViewId="0" topLeftCell="A1">
      <selection activeCell="D9" sqref="D9"/>
    </sheetView>
  </sheetViews>
  <sheetFormatPr defaultColWidth="9.140625" defaultRowHeight="12.75"/>
  <cols>
    <col min="1" max="1" width="9.140625" style="32" customWidth="1"/>
    <col min="2" max="2" width="54.28125" style="32" customWidth="1"/>
    <col min="3" max="3" width="5.57421875" style="76" customWidth="1"/>
    <col min="4" max="4" width="17.421875" style="78" customWidth="1"/>
    <col min="5" max="6" width="14.140625" style="78" customWidth="1"/>
    <col min="7" max="10" width="14.140625" style="78" hidden="1" customWidth="1"/>
    <col min="11" max="11" width="20.28125" style="32" customWidth="1"/>
    <col min="12" max="13" width="15.28125" style="32" customWidth="1"/>
    <col min="14" max="17" width="15.28125" style="32" hidden="1" customWidth="1"/>
    <col min="18" max="18" width="18.28125" style="32" customWidth="1"/>
    <col min="19" max="19" width="13.28125" style="32" customWidth="1"/>
    <col min="20" max="20" width="14.7109375" style="32" customWidth="1"/>
    <col min="21" max="23" width="9.140625" style="32" hidden="1" customWidth="1"/>
    <col min="24" max="24" width="4.421875" style="32" hidden="1" customWidth="1"/>
    <col min="25" max="25" width="9.140625" style="32" customWidth="1"/>
    <col min="26" max="16384" width="9.140625" style="32" customWidth="1"/>
  </cols>
  <sheetData>
    <row r="1" spans="1:19" ht="15.75">
      <c r="A1" s="1226" t="s">
        <v>64</v>
      </c>
      <c r="B1" s="1226"/>
      <c r="C1" s="1226"/>
      <c r="D1" s="1226"/>
      <c r="E1" s="1226"/>
      <c r="F1" s="1226"/>
      <c r="G1" s="1226"/>
      <c r="H1" s="1226"/>
      <c r="I1" s="1226"/>
      <c r="J1" s="1226"/>
      <c r="K1" s="1226"/>
      <c r="L1" s="1226"/>
      <c r="M1" s="1226"/>
      <c r="N1" s="1226"/>
      <c r="O1" s="1226"/>
      <c r="P1" s="1226"/>
      <c r="Q1" s="1226"/>
      <c r="R1" s="1226"/>
      <c r="S1" s="61"/>
    </row>
    <row r="2" spans="1:19" ht="16.5" thickBot="1">
      <c r="A2" s="71"/>
      <c r="B2" s="61"/>
      <c r="C2" s="61"/>
      <c r="D2" s="72"/>
      <c r="E2" s="72"/>
      <c r="F2" s="72"/>
      <c r="G2" s="72"/>
      <c r="H2" s="72"/>
      <c r="I2" s="72"/>
      <c r="J2" s="72"/>
      <c r="K2" s="61"/>
      <c r="L2" s="61"/>
      <c r="M2" s="61"/>
      <c r="N2" s="61"/>
      <c r="O2" s="61"/>
      <c r="P2" s="61"/>
      <c r="Q2" s="61"/>
      <c r="R2" s="61" t="s">
        <v>547</v>
      </c>
      <c r="S2" s="61"/>
    </row>
    <row r="3" spans="1:24" s="73" customFormat="1" ht="31.5" customHeight="1" thickBot="1">
      <c r="A3" s="25" t="s">
        <v>6</v>
      </c>
      <c r="B3" s="26" t="s">
        <v>38</v>
      </c>
      <c r="C3" s="485" t="s">
        <v>286</v>
      </c>
      <c r="D3" s="1217" t="s">
        <v>5</v>
      </c>
      <c r="E3" s="1218"/>
      <c r="F3" s="1218"/>
      <c r="G3" s="1218"/>
      <c r="H3" s="1218"/>
      <c r="I3" s="1218"/>
      <c r="J3" s="1219"/>
      <c r="K3" s="1220" t="s">
        <v>287</v>
      </c>
      <c r="L3" s="1221"/>
      <c r="M3" s="1221"/>
      <c r="N3" s="1221"/>
      <c r="O3" s="1222"/>
      <c r="P3" s="1222"/>
      <c r="Q3" s="1223"/>
      <c r="R3" s="1220" t="s">
        <v>29</v>
      </c>
      <c r="S3" s="1221"/>
      <c r="T3" s="1221"/>
      <c r="U3" s="1221"/>
      <c r="V3" s="1222"/>
      <c r="W3" s="1222"/>
      <c r="X3" s="1223"/>
    </row>
    <row r="4" spans="1:24" s="73" customFormat="1" ht="31.5" customHeight="1">
      <c r="A4" s="324"/>
      <c r="B4" s="325"/>
      <c r="C4" s="578"/>
      <c r="D4" s="848" t="s">
        <v>70</v>
      </c>
      <c r="E4" s="849" t="s">
        <v>241</v>
      </c>
      <c r="F4" s="849" t="s">
        <v>244</v>
      </c>
      <c r="G4" s="850" t="s">
        <v>247</v>
      </c>
      <c r="H4" s="977" t="s">
        <v>263</v>
      </c>
      <c r="I4" s="977" t="s">
        <v>269</v>
      </c>
      <c r="J4" s="851" t="s">
        <v>251</v>
      </c>
      <c r="K4" s="848" t="s">
        <v>70</v>
      </c>
      <c r="L4" s="849" t="s">
        <v>241</v>
      </c>
      <c r="M4" s="849" t="s">
        <v>244</v>
      </c>
      <c r="N4" s="850" t="s">
        <v>247</v>
      </c>
      <c r="O4" s="977" t="s">
        <v>263</v>
      </c>
      <c r="P4" s="977" t="s">
        <v>269</v>
      </c>
      <c r="Q4" s="851" t="s">
        <v>251</v>
      </c>
      <c r="R4" s="848" t="s">
        <v>70</v>
      </c>
      <c r="S4" s="849" t="s">
        <v>241</v>
      </c>
      <c r="T4" s="849" t="s">
        <v>244</v>
      </c>
      <c r="U4" s="850" t="s">
        <v>247</v>
      </c>
      <c r="V4" s="977" t="s">
        <v>263</v>
      </c>
      <c r="W4" s="977" t="s">
        <v>269</v>
      </c>
      <c r="X4" s="851" t="s">
        <v>251</v>
      </c>
    </row>
    <row r="5" spans="1:24" ht="29.25" customHeight="1">
      <c r="A5" s="60">
        <v>1</v>
      </c>
      <c r="B5" s="86" t="s">
        <v>557</v>
      </c>
      <c r="C5" s="579" t="s">
        <v>216</v>
      </c>
      <c r="D5" s="586">
        <v>50000</v>
      </c>
      <c r="E5" s="586">
        <v>50000</v>
      </c>
      <c r="F5" s="586">
        <v>50000</v>
      </c>
      <c r="G5" s="586"/>
      <c r="H5" s="586"/>
      <c r="I5" s="586"/>
      <c r="J5" s="591"/>
      <c r="K5" s="586">
        <v>0</v>
      </c>
      <c r="L5" s="586">
        <v>0</v>
      </c>
      <c r="M5" s="586">
        <v>0</v>
      </c>
      <c r="N5" s="586"/>
      <c r="O5" s="586"/>
      <c r="P5" s="586"/>
      <c r="Q5" s="591"/>
      <c r="R5" s="586">
        <v>50000</v>
      </c>
      <c r="S5" s="586">
        <v>50000</v>
      </c>
      <c r="T5" s="586">
        <v>50000</v>
      </c>
      <c r="U5" s="586"/>
      <c r="V5" s="586"/>
      <c r="W5" s="586"/>
      <c r="X5" s="591" t="e">
        <f>V5/U5</f>
        <v>#DIV/0!</v>
      </c>
    </row>
    <row r="6" spans="1:24" ht="29.25" customHeight="1" thickBot="1">
      <c r="A6" s="60">
        <v>2</v>
      </c>
      <c r="B6" s="86" t="s">
        <v>594</v>
      </c>
      <c r="C6" s="579" t="s">
        <v>216</v>
      </c>
      <c r="D6" s="587"/>
      <c r="E6" s="587"/>
      <c r="F6" s="587">
        <v>720000</v>
      </c>
      <c r="G6" s="587"/>
      <c r="H6" s="587"/>
      <c r="I6" s="587"/>
      <c r="J6" s="591"/>
      <c r="K6" s="592"/>
      <c r="L6" s="592"/>
      <c r="M6" s="592">
        <v>0</v>
      </c>
      <c r="N6" s="854"/>
      <c r="O6" s="980"/>
      <c r="P6" s="980"/>
      <c r="Q6" s="591"/>
      <c r="R6" s="592"/>
      <c r="S6" s="592"/>
      <c r="T6" s="592">
        <v>720000</v>
      </c>
      <c r="U6" s="592"/>
      <c r="V6" s="592"/>
      <c r="W6" s="592"/>
      <c r="X6" s="591" t="e">
        <f>V6/U6</f>
        <v>#DIV/0!</v>
      </c>
    </row>
    <row r="7" spans="1:24" ht="29.25" customHeight="1">
      <c r="A7" s="60">
        <v>3</v>
      </c>
      <c r="B7" s="90" t="s">
        <v>595</v>
      </c>
      <c r="C7" s="580" t="s">
        <v>216</v>
      </c>
      <c r="D7" s="588"/>
      <c r="E7" s="588"/>
      <c r="F7" s="588">
        <v>889000</v>
      </c>
      <c r="G7" s="588"/>
      <c r="H7" s="588"/>
      <c r="I7" s="588"/>
      <c r="J7" s="591"/>
      <c r="K7" s="593"/>
      <c r="L7" s="593"/>
      <c r="M7" s="593">
        <v>889000</v>
      </c>
      <c r="N7" s="855"/>
      <c r="O7" s="981"/>
      <c r="P7" s="981"/>
      <c r="Q7" s="591"/>
      <c r="R7" s="593"/>
      <c r="S7" s="593"/>
      <c r="T7" s="593">
        <v>0</v>
      </c>
      <c r="U7" s="593"/>
      <c r="V7" s="593"/>
      <c r="W7" s="593"/>
      <c r="X7" s="591" t="e">
        <f>V7/U7</f>
        <v>#DIV/0!</v>
      </c>
    </row>
    <row r="8" spans="1:24" ht="29.25" customHeight="1">
      <c r="A8" s="60">
        <v>4</v>
      </c>
      <c r="B8" s="86" t="s">
        <v>596</v>
      </c>
      <c r="C8" s="580" t="s">
        <v>216</v>
      </c>
      <c r="D8" s="589"/>
      <c r="E8" s="589"/>
      <c r="F8" s="589">
        <f>258260+69730</f>
        <v>327990</v>
      </c>
      <c r="G8" s="75"/>
      <c r="H8" s="75"/>
      <c r="I8" s="75"/>
      <c r="J8" s="591"/>
      <c r="K8" s="593"/>
      <c r="L8" s="593"/>
      <c r="M8" s="593">
        <v>0</v>
      </c>
      <c r="N8" s="855"/>
      <c r="O8" s="981"/>
      <c r="P8" s="981"/>
      <c r="Q8" s="591"/>
      <c r="R8" s="593"/>
      <c r="S8" s="593"/>
      <c r="T8" s="593">
        <v>327990</v>
      </c>
      <c r="U8" s="75"/>
      <c r="V8" s="75"/>
      <c r="W8" s="75"/>
      <c r="X8" s="591" t="e">
        <f>V8/U8</f>
        <v>#DIV/0!</v>
      </c>
    </row>
    <row r="9" spans="1:24" ht="29.25" customHeight="1">
      <c r="A9" s="60">
        <v>5</v>
      </c>
      <c r="B9" s="1058" t="s">
        <v>597</v>
      </c>
      <c r="C9" s="580" t="s">
        <v>216</v>
      </c>
      <c r="D9" s="589"/>
      <c r="E9" s="589"/>
      <c r="F9" s="589">
        <f>109370+29530</f>
        <v>138900</v>
      </c>
      <c r="G9" s="75"/>
      <c r="H9" s="75"/>
      <c r="I9" s="75"/>
      <c r="J9" s="591"/>
      <c r="K9" s="593"/>
      <c r="L9" s="593"/>
      <c r="M9" s="593">
        <v>0</v>
      </c>
      <c r="N9" s="855"/>
      <c r="O9" s="981"/>
      <c r="P9" s="981"/>
      <c r="Q9" s="591"/>
      <c r="R9" s="593"/>
      <c r="S9" s="593"/>
      <c r="T9" s="593">
        <v>138900</v>
      </c>
      <c r="U9" s="75"/>
      <c r="V9" s="75"/>
      <c r="W9" s="75"/>
      <c r="X9" s="591" t="e">
        <f>V9/U9</f>
        <v>#DIV/0!</v>
      </c>
    </row>
    <row r="10" spans="1:24" ht="29.25" customHeight="1">
      <c r="A10" s="60">
        <v>6</v>
      </c>
      <c r="B10" s="1058" t="s">
        <v>598</v>
      </c>
      <c r="C10" s="580" t="s">
        <v>216</v>
      </c>
      <c r="D10" s="589"/>
      <c r="E10" s="589"/>
      <c r="F10" s="589">
        <f>78740+21260</f>
        <v>100000</v>
      </c>
      <c r="G10" s="75"/>
      <c r="H10" s="75"/>
      <c r="I10" s="75"/>
      <c r="J10" s="591"/>
      <c r="K10" s="593"/>
      <c r="L10" s="593"/>
      <c r="M10" s="593">
        <v>100000</v>
      </c>
      <c r="N10" s="855"/>
      <c r="O10" s="981"/>
      <c r="P10" s="981"/>
      <c r="Q10" s="591"/>
      <c r="R10" s="593"/>
      <c r="S10" s="593"/>
      <c r="T10" s="593">
        <v>0</v>
      </c>
      <c r="U10" s="855"/>
      <c r="V10" s="981"/>
      <c r="W10" s="981"/>
      <c r="X10" s="591"/>
    </row>
    <row r="11" spans="1:24" ht="29.25" customHeight="1" thickBot="1">
      <c r="A11" s="60">
        <v>7</v>
      </c>
      <c r="B11" s="86" t="s">
        <v>599</v>
      </c>
      <c r="C11" s="580" t="s">
        <v>216</v>
      </c>
      <c r="D11" s="589"/>
      <c r="E11" s="589"/>
      <c r="F11" s="589">
        <f>79000+21330</f>
        <v>100330</v>
      </c>
      <c r="G11" s="75"/>
      <c r="H11" s="75"/>
      <c r="I11" s="75"/>
      <c r="J11" s="591"/>
      <c r="K11" s="593"/>
      <c r="L11" s="593"/>
      <c r="M11" s="593">
        <v>0</v>
      </c>
      <c r="N11" s="855"/>
      <c r="O11" s="981"/>
      <c r="P11" s="981"/>
      <c r="Q11" s="591"/>
      <c r="R11" s="593"/>
      <c r="S11" s="593"/>
      <c r="T11" s="593">
        <v>100330</v>
      </c>
      <c r="U11" s="855"/>
      <c r="V11" s="981"/>
      <c r="W11" s="981"/>
      <c r="X11" s="591"/>
    </row>
    <row r="12" spans="1:24" ht="29.25" customHeight="1" hidden="1">
      <c r="A12" s="60">
        <v>8</v>
      </c>
      <c r="B12" s="89" t="s">
        <v>534</v>
      </c>
      <c r="C12" s="580" t="s">
        <v>216</v>
      </c>
      <c r="D12" s="589"/>
      <c r="E12" s="589"/>
      <c r="F12" s="589"/>
      <c r="G12" s="75"/>
      <c r="H12" s="75"/>
      <c r="I12" s="75"/>
      <c r="J12" s="591"/>
      <c r="K12" s="593"/>
      <c r="L12" s="593"/>
      <c r="M12" s="593"/>
      <c r="N12" s="855"/>
      <c r="O12" s="981"/>
      <c r="P12" s="981"/>
      <c r="Q12" s="591"/>
      <c r="R12" s="593"/>
      <c r="S12" s="593"/>
      <c r="T12" s="593"/>
      <c r="U12" s="855"/>
      <c r="V12" s="981"/>
      <c r="W12" s="981"/>
      <c r="X12" s="591"/>
    </row>
    <row r="13" spans="1:24" ht="29.25" customHeight="1" hidden="1">
      <c r="A13" s="60">
        <v>9</v>
      </c>
      <c r="B13" s="86"/>
      <c r="C13" s="580"/>
      <c r="D13" s="589"/>
      <c r="E13" s="589"/>
      <c r="F13" s="589"/>
      <c r="G13" s="75"/>
      <c r="H13" s="75"/>
      <c r="I13" s="75"/>
      <c r="J13" s="591" t="e">
        <f>G13/E13</f>
        <v>#DIV/0!</v>
      </c>
      <c r="K13" s="593"/>
      <c r="L13" s="593"/>
      <c r="M13" s="593"/>
      <c r="N13" s="855"/>
      <c r="O13" s="981"/>
      <c r="P13" s="981"/>
      <c r="Q13" s="591" t="e">
        <f>N13/L13</f>
        <v>#DIV/0!</v>
      </c>
      <c r="R13" s="593"/>
      <c r="S13" s="593"/>
      <c r="T13" s="593"/>
      <c r="U13" s="855"/>
      <c r="V13" s="981"/>
      <c r="W13" s="981"/>
      <c r="X13" s="591" t="e">
        <f>U13/S13</f>
        <v>#DIV/0!</v>
      </c>
    </row>
    <row r="14" spans="1:24" ht="29.25" customHeight="1" hidden="1">
      <c r="A14" s="60">
        <v>10</v>
      </c>
      <c r="B14" s="88"/>
      <c r="C14" s="580"/>
      <c r="D14" s="589"/>
      <c r="E14" s="589"/>
      <c r="F14" s="589"/>
      <c r="G14" s="75"/>
      <c r="H14" s="75"/>
      <c r="I14" s="75"/>
      <c r="J14" s="591" t="e">
        <f>G14/E14</f>
        <v>#DIV/0!</v>
      </c>
      <c r="K14" s="593"/>
      <c r="L14" s="593"/>
      <c r="M14" s="593"/>
      <c r="N14" s="855"/>
      <c r="O14" s="981"/>
      <c r="P14" s="981"/>
      <c r="Q14" s="591" t="e">
        <f>N14/L14</f>
        <v>#DIV/0!</v>
      </c>
      <c r="R14" s="593"/>
      <c r="S14" s="593"/>
      <c r="T14" s="593"/>
      <c r="U14" s="855"/>
      <c r="V14" s="981"/>
      <c r="W14" s="981"/>
      <c r="X14" s="591" t="e">
        <f>U14/S14</f>
        <v>#DIV/0!</v>
      </c>
    </row>
    <row r="15" spans="1:24" ht="29.25" customHeight="1" hidden="1" thickBot="1">
      <c r="A15" s="60">
        <v>11</v>
      </c>
      <c r="B15" s="88"/>
      <c r="C15" s="580"/>
      <c r="D15" s="589"/>
      <c r="E15" s="589"/>
      <c r="F15" s="589"/>
      <c r="G15" s="75"/>
      <c r="H15" s="75"/>
      <c r="I15" s="75"/>
      <c r="J15" s="591" t="e">
        <f>G15/E15</f>
        <v>#DIV/0!</v>
      </c>
      <c r="K15" s="593"/>
      <c r="L15" s="593"/>
      <c r="M15" s="593"/>
      <c r="N15" s="855"/>
      <c r="O15" s="981"/>
      <c r="P15" s="981"/>
      <c r="Q15" s="591" t="e">
        <f>N15/L15</f>
        <v>#DIV/0!</v>
      </c>
      <c r="R15" s="593"/>
      <c r="S15" s="593"/>
      <c r="T15" s="593"/>
      <c r="U15" s="855"/>
      <c r="V15" s="981"/>
      <c r="W15" s="981"/>
      <c r="X15" s="591" t="e">
        <f>U15/S15</f>
        <v>#DIV/0!</v>
      </c>
    </row>
    <row r="16" spans="1:24" ht="31.5" customHeight="1" thickBot="1">
      <c r="A16" s="1224" t="s">
        <v>1</v>
      </c>
      <c r="B16" s="1227"/>
      <c r="C16" s="581"/>
      <c r="D16" s="590">
        <f>SUM(D5:D11)</f>
        <v>50000</v>
      </c>
      <c r="E16" s="590">
        <f>SUM(E5:E11)</f>
        <v>50000</v>
      </c>
      <c r="F16" s="590">
        <f>SUM(F5:F11)</f>
        <v>2326220</v>
      </c>
      <c r="G16" s="852">
        <f>SUM(G5:G11)</f>
        <v>0</v>
      </c>
      <c r="H16" s="852">
        <f>SUM(H5:H11)</f>
        <v>0</v>
      </c>
      <c r="I16" s="852">
        <f>SUM(I5:I12)</f>
        <v>0</v>
      </c>
      <c r="J16" s="853" t="e">
        <f>H16/G16</f>
        <v>#DIV/0!</v>
      </c>
      <c r="K16" s="590">
        <f aca="true" t="shared" si="0" ref="K16:P16">SUM(K5:K15)</f>
        <v>0</v>
      </c>
      <c r="L16" s="590">
        <f t="shared" si="0"/>
        <v>0</v>
      </c>
      <c r="M16" s="590">
        <f t="shared" si="0"/>
        <v>989000</v>
      </c>
      <c r="N16" s="852">
        <f t="shared" si="0"/>
        <v>0</v>
      </c>
      <c r="O16" s="852">
        <f t="shared" si="0"/>
        <v>0</v>
      </c>
      <c r="P16" s="852">
        <f t="shared" si="0"/>
        <v>0</v>
      </c>
      <c r="Q16" s="853" t="e">
        <f>O16/N16</f>
        <v>#DIV/0!</v>
      </c>
      <c r="R16" s="590">
        <f aca="true" t="shared" si="1" ref="R16:W16">SUM(R5:R15)</f>
        <v>50000</v>
      </c>
      <c r="S16" s="590">
        <f t="shared" si="1"/>
        <v>50000</v>
      </c>
      <c r="T16" s="590">
        <f t="shared" si="1"/>
        <v>1337220</v>
      </c>
      <c r="U16" s="852">
        <f t="shared" si="1"/>
        <v>0</v>
      </c>
      <c r="V16" s="852">
        <f t="shared" si="1"/>
        <v>0</v>
      </c>
      <c r="W16" s="852">
        <f t="shared" si="1"/>
        <v>0</v>
      </c>
      <c r="X16" s="853" t="e">
        <f>V16/U16</f>
        <v>#DIV/0!</v>
      </c>
    </row>
    <row r="17" spans="1:18" ht="15.75">
      <c r="A17" s="61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</row>
    <row r="18" spans="1:18" ht="14.25">
      <c r="A18" s="1226" t="s">
        <v>65</v>
      </c>
      <c r="B18" s="1226"/>
      <c r="C18" s="1226"/>
      <c r="D18" s="1226"/>
      <c r="E18" s="1226"/>
      <c r="F18" s="1226"/>
      <c r="G18" s="1226"/>
      <c r="H18" s="1226"/>
      <c r="I18" s="1226"/>
      <c r="J18" s="1226"/>
      <c r="K18" s="1226"/>
      <c r="L18" s="1226"/>
      <c r="M18" s="1226"/>
      <c r="N18" s="1226"/>
      <c r="O18" s="1226"/>
      <c r="P18" s="1226"/>
      <c r="Q18" s="1226"/>
      <c r="R18" s="1226"/>
    </row>
    <row r="19" spans="1:18" ht="13.5" thickBot="1">
      <c r="A19" s="76"/>
      <c r="B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</row>
    <row r="20" spans="1:24" ht="29.25" customHeight="1" thickBot="1">
      <c r="A20" s="25" t="s">
        <v>6</v>
      </c>
      <c r="B20" s="26" t="s">
        <v>34</v>
      </c>
      <c r="C20" s="485" t="s">
        <v>286</v>
      </c>
      <c r="D20" s="1217" t="s">
        <v>5</v>
      </c>
      <c r="E20" s="1218"/>
      <c r="F20" s="1218"/>
      <c r="G20" s="1218"/>
      <c r="H20" s="1218"/>
      <c r="I20" s="1218"/>
      <c r="J20" s="1219"/>
      <c r="K20" s="1220" t="s">
        <v>287</v>
      </c>
      <c r="L20" s="1221"/>
      <c r="M20" s="1221"/>
      <c r="N20" s="1221"/>
      <c r="O20" s="1222"/>
      <c r="P20" s="1222"/>
      <c r="Q20" s="1223"/>
      <c r="R20" s="1220" t="s">
        <v>29</v>
      </c>
      <c r="S20" s="1221"/>
      <c r="T20" s="1221"/>
      <c r="U20" s="1221"/>
      <c r="V20" s="1222"/>
      <c r="W20" s="1222"/>
      <c r="X20" s="1223"/>
    </row>
    <row r="21" spans="1:24" ht="28.5" customHeight="1" thickBot="1">
      <c r="A21" s="326"/>
      <c r="B21" s="327"/>
      <c r="C21" s="582"/>
      <c r="D21" s="848" t="s">
        <v>70</v>
      </c>
      <c r="E21" s="849" t="s">
        <v>241</v>
      </c>
      <c r="F21" s="849" t="s">
        <v>244</v>
      </c>
      <c r="G21" s="850" t="s">
        <v>247</v>
      </c>
      <c r="H21" s="977" t="s">
        <v>263</v>
      </c>
      <c r="I21" s="977" t="s">
        <v>269</v>
      </c>
      <c r="J21" s="851" t="s">
        <v>251</v>
      </c>
      <c r="K21" s="848" t="s">
        <v>70</v>
      </c>
      <c r="L21" s="849" t="s">
        <v>241</v>
      </c>
      <c r="M21" s="849" t="s">
        <v>244</v>
      </c>
      <c r="N21" s="850" t="s">
        <v>247</v>
      </c>
      <c r="O21" s="977" t="s">
        <v>263</v>
      </c>
      <c r="P21" s="977" t="s">
        <v>269</v>
      </c>
      <c r="Q21" s="851" t="s">
        <v>251</v>
      </c>
      <c r="R21" s="848" t="s">
        <v>70</v>
      </c>
      <c r="S21" s="849" t="s">
        <v>241</v>
      </c>
      <c r="T21" s="849" t="s">
        <v>244</v>
      </c>
      <c r="U21" s="850" t="s">
        <v>247</v>
      </c>
      <c r="V21" s="977" t="s">
        <v>263</v>
      </c>
      <c r="W21" s="977" t="s">
        <v>269</v>
      </c>
      <c r="X21" s="851" t="s">
        <v>251</v>
      </c>
    </row>
    <row r="22" spans="1:24" ht="29.25" customHeight="1">
      <c r="A22" s="77">
        <v>1</v>
      </c>
      <c r="B22" s="90" t="s">
        <v>558</v>
      </c>
      <c r="C22" s="583" t="s">
        <v>216</v>
      </c>
      <c r="D22" s="594">
        <v>10000000</v>
      </c>
      <c r="E22" s="594">
        <v>10000000</v>
      </c>
      <c r="F22" s="594">
        <v>10000000</v>
      </c>
      <c r="G22" s="594"/>
      <c r="H22" s="594"/>
      <c r="I22" s="594"/>
      <c r="J22" s="591"/>
      <c r="K22" s="597">
        <v>0</v>
      </c>
      <c r="L22" s="597">
        <v>0</v>
      </c>
      <c r="M22" s="597"/>
      <c r="N22" s="597"/>
      <c r="O22" s="597"/>
      <c r="P22" s="597"/>
      <c r="Q22" s="591"/>
      <c r="R22" s="597">
        <v>10000000</v>
      </c>
      <c r="S22" s="597">
        <v>10000000</v>
      </c>
      <c r="T22" s="594">
        <v>10000000</v>
      </c>
      <c r="U22" s="597"/>
      <c r="V22" s="597"/>
      <c r="W22" s="597"/>
      <c r="X22" s="591" t="e">
        <f aca="true" t="shared" si="2" ref="X22:X28">V22/U22</f>
        <v>#DIV/0!</v>
      </c>
    </row>
    <row r="23" spans="1:24" ht="29.25" customHeight="1">
      <c r="A23" s="59">
        <v>2</v>
      </c>
      <c r="B23" s="91" t="s">
        <v>559</v>
      </c>
      <c r="C23" s="584" t="s">
        <v>216</v>
      </c>
      <c r="D23" s="595">
        <v>12000000</v>
      </c>
      <c r="E23" s="595">
        <v>12000000</v>
      </c>
      <c r="F23" s="595">
        <f>12000000-2831354-764465</f>
        <v>8404181</v>
      </c>
      <c r="G23" s="595"/>
      <c r="H23" s="595"/>
      <c r="I23" s="595"/>
      <c r="J23" s="591"/>
      <c r="K23" s="598">
        <v>0</v>
      </c>
      <c r="L23" s="598">
        <v>0</v>
      </c>
      <c r="M23" s="598"/>
      <c r="N23" s="598"/>
      <c r="O23" s="598"/>
      <c r="P23" s="598"/>
      <c r="Q23" s="591"/>
      <c r="R23" s="595">
        <v>12000000</v>
      </c>
      <c r="S23" s="595">
        <v>12000000</v>
      </c>
      <c r="T23" s="595">
        <f>12000000-2831354-764465</f>
        <v>8404181</v>
      </c>
      <c r="U23" s="598"/>
      <c r="V23" s="598"/>
      <c r="W23" s="598"/>
      <c r="X23" s="591" t="e">
        <f t="shared" si="2"/>
        <v>#DIV/0!</v>
      </c>
    </row>
    <row r="24" spans="1:24" ht="29.25" customHeight="1" thickBot="1">
      <c r="A24" s="59">
        <v>3</v>
      </c>
      <c r="B24" s="87" t="s">
        <v>560</v>
      </c>
      <c r="C24" s="580" t="s">
        <v>216</v>
      </c>
      <c r="D24" s="589">
        <v>7000000</v>
      </c>
      <c r="E24" s="589">
        <v>7000000</v>
      </c>
      <c r="F24" s="589">
        <v>7000000</v>
      </c>
      <c r="G24" s="589"/>
      <c r="H24" s="589"/>
      <c r="I24" s="589"/>
      <c r="J24" s="591"/>
      <c r="K24" s="593">
        <v>0</v>
      </c>
      <c r="L24" s="593">
        <v>0</v>
      </c>
      <c r="M24" s="593"/>
      <c r="N24" s="593"/>
      <c r="O24" s="593"/>
      <c r="P24" s="593"/>
      <c r="Q24" s="591"/>
      <c r="R24" s="589">
        <v>7000000</v>
      </c>
      <c r="S24" s="589">
        <v>7000000</v>
      </c>
      <c r="T24" s="589">
        <v>7000000</v>
      </c>
      <c r="U24" s="593"/>
      <c r="V24" s="593"/>
      <c r="W24" s="593"/>
      <c r="X24" s="591" t="e">
        <f t="shared" si="2"/>
        <v>#DIV/0!</v>
      </c>
    </row>
    <row r="25" spans="1:24" ht="29.25" customHeight="1" hidden="1">
      <c r="A25" s="59">
        <v>4</v>
      </c>
      <c r="B25" s="86" t="s">
        <v>493</v>
      </c>
      <c r="C25" s="579" t="s">
        <v>216</v>
      </c>
      <c r="D25" s="587"/>
      <c r="E25" s="587"/>
      <c r="F25" s="587"/>
      <c r="G25" s="587"/>
      <c r="H25" s="587"/>
      <c r="I25" s="587"/>
      <c r="J25" s="591"/>
      <c r="K25" s="593"/>
      <c r="L25" s="593"/>
      <c r="M25" s="593"/>
      <c r="N25" s="593"/>
      <c r="O25" s="593"/>
      <c r="P25" s="593"/>
      <c r="Q25" s="591"/>
      <c r="R25" s="593"/>
      <c r="S25" s="593"/>
      <c r="T25" s="587"/>
      <c r="U25" s="593"/>
      <c r="V25" s="593"/>
      <c r="W25" s="593"/>
      <c r="X25" s="591" t="e">
        <f t="shared" si="2"/>
        <v>#DIV/0!</v>
      </c>
    </row>
    <row r="26" spans="1:24" ht="29.25" customHeight="1" hidden="1">
      <c r="A26" s="59">
        <v>5</v>
      </c>
      <c r="B26" s="86" t="s">
        <v>521</v>
      </c>
      <c r="C26" s="579" t="s">
        <v>216</v>
      </c>
      <c r="D26" s="587"/>
      <c r="E26" s="587"/>
      <c r="F26" s="587"/>
      <c r="G26" s="978"/>
      <c r="H26" s="978"/>
      <c r="I26" s="978"/>
      <c r="J26" s="591"/>
      <c r="K26" s="593"/>
      <c r="L26" s="593"/>
      <c r="M26" s="593"/>
      <c r="N26" s="593"/>
      <c r="O26" s="593"/>
      <c r="P26" s="593"/>
      <c r="Q26" s="591"/>
      <c r="R26" s="593"/>
      <c r="S26" s="593"/>
      <c r="T26" s="587"/>
      <c r="U26" s="978"/>
      <c r="V26" s="978"/>
      <c r="W26" s="978"/>
      <c r="X26" s="591" t="e">
        <f t="shared" si="2"/>
        <v>#DIV/0!</v>
      </c>
    </row>
    <row r="27" spans="1:24" ht="29.25" customHeight="1" hidden="1">
      <c r="A27" s="59">
        <v>6</v>
      </c>
      <c r="B27" s="86" t="s">
        <v>522</v>
      </c>
      <c r="C27" s="585" t="s">
        <v>216</v>
      </c>
      <c r="D27" s="587"/>
      <c r="E27" s="587"/>
      <c r="F27" s="587"/>
      <c r="G27" s="978"/>
      <c r="H27" s="978"/>
      <c r="I27" s="978"/>
      <c r="J27" s="591"/>
      <c r="K27" s="592"/>
      <c r="L27" s="592"/>
      <c r="M27" s="592"/>
      <c r="N27" s="592"/>
      <c r="O27" s="592"/>
      <c r="P27" s="592"/>
      <c r="Q27" s="591"/>
      <c r="R27" s="592"/>
      <c r="S27" s="592"/>
      <c r="T27" s="587"/>
      <c r="U27" s="978"/>
      <c r="V27" s="978"/>
      <c r="W27" s="978"/>
      <c r="X27" s="591" t="e">
        <f t="shared" si="2"/>
        <v>#DIV/0!</v>
      </c>
    </row>
    <row r="28" spans="1:24" ht="29.25" customHeight="1" hidden="1" thickBot="1">
      <c r="A28" s="59">
        <v>7</v>
      </c>
      <c r="B28" s="86" t="s">
        <v>523</v>
      </c>
      <c r="C28" s="585" t="s">
        <v>216</v>
      </c>
      <c r="D28" s="587"/>
      <c r="E28" s="587"/>
      <c r="F28" s="587"/>
      <c r="G28" s="978"/>
      <c r="H28" s="978"/>
      <c r="I28" s="978"/>
      <c r="J28" s="591"/>
      <c r="K28" s="592"/>
      <c r="L28" s="592"/>
      <c r="M28" s="592"/>
      <c r="N28" s="592"/>
      <c r="O28" s="592"/>
      <c r="P28" s="592"/>
      <c r="Q28" s="591"/>
      <c r="R28" s="592"/>
      <c r="S28" s="592"/>
      <c r="T28" s="587"/>
      <c r="U28" s="978"/>
      <c r="V28" s="978"/>
      <c r="W28" s="978"/>
      <c r="X28" s="591" t="e">
        <f t="shared" si="2"/>
        <v>#DIV/0!</v>
      </c>
    </row>
    <row r="29" spans="1:24" ht="29.25" customHeight="1" hidden="1">
      <c r="A29" s="59">
        <v>8</v>
      </c>
      <c r="B29" s="86"/>
      <c r="C29" s="585" t="s">
        <v>216</v>
      </c>
      <c r="D29" s="587"/>
      <c r="E29" s="587"/>
      <c r="F29" s="587"/>
      <c r="G29" s="74"/>
      <c r="H29" s="978"/>
      <c r="I29" s="978"/>
      <c r="J29" s="591"/>
      <c r="K29" s="592"/>
      <c r="L29" s="592"/>
      <c r="M29" s="592"/>
      <c r="N29" s="592"/>
      <c r="O29" s="979"/>
      <c r="P29" s="979"/>
      <c r="Q29" s="591"/>
      <c r="R29" s="592"/>
      <c r="S29" s="592"/>
      <c r="T29" s="587"/>
      <c r="U29" s="592"/>
      <c r="V29" s="979"/>
      <c r="W29" s="979"/>
      <c r="X29" s="591"/>
    </row>
    <row r="30" spans="1:24" ht="29.25" customHeight="1" hidden="1">
      <c r="A30" s="59">
        <v>9</v>
      </c>
      <c r="B30" s="86"/>
      <c r="C30" s="585"/>
      <c r="D30" s="587"/>
      <c r="E30" s="587"/>
      <c r="F30" s="587"/>
      <c r="G30" s="74"/>
      <c r="H30" s="978"/>
      <c r="I30" s="978"/>
      <c r="J30" s="591" t="e">
        <f>G30/E30</f>
        <v>#DIV/0!</v>
      </c>
      <c r="K30" s="592"/>
      <c r="L30" s="592"/>
      <c r="M30" s="592"/>
      <c r="N30" s="592"/>
      <c r="O30" s="978"/>
      <c r="P30" s="978"/>
      <c r="Q30" s="591" t="e">
        <f>N30/L30</f>
        <v>#DIV/0!</v>
      </c>
      <c r="R30" s="592"/>
      <c r="S30" s="592"/>
      <c r="T30" s="587"/>
      <c r="U30" s="592"/>
      <c r="V30" s="978"/>
      <c r="W30" s="978"/>
      <c r="X30" s="591" t="e">
        <f>U30/S30</f>
        <v>#DIV/0!</v>
      </c>
    </row>
    <row r="31" spans="1:24" ht="29.25" customHeight="1" hidden="1" thickBot="1">
      <c r="A31" s="59">
        <v>10</v>
      </c>
      <c r="B31" s="92"/>
      <c r="C31" s="579"/>
      <c r="D31" s="587"/>
      <c r="E31" s="587"/>
      <c r="F31" s="587"/>
      <c r="G31" s="74"/>
      <c r="H31" s="978"/>
      <c r="I31" s="978"/>
      <c r="J31" s="591" t="e">
        <f>G31/E31</f>
        <v>#DIV/0!</v>
      </c>
      <c r="K31" s="592"/>
      <c r="L31" s="592"/>
      <c r="M31" s="592"/>
      <c r="N31" s="592"/>
      <c r="O31" s="978"/>
      <c r="P31" s="978"/>
      <c r="Q31" s="591" t="e">
        <f>N31/L31</f>
        <v>#DIV/0!</v>
      </c>
      <c r="R31" s="592"/>
      <c r="S31" s="592"/>
      <c r="T31" s="587"/>
      <c r="U31" s="592"/>
      <c r="V31" s="978"/>
      <c r="W31" s="978"/>
      <c r="X31" s="591" t="e">
        <f>U31/S31</f>
        <v>#DIV/0!</v>
      </c>
    </row>
    <row r="32" spans="1:24" ht="29.25" customHeight="1" thickBot="1">
      <c r="A32" s="1224" t="s">
        <v>1</v>
      </c>
      <c r="B32" s="1225"/>
      <c r="C32" s="581"/>
      <c r="D32" s="596">
        <f aca="true" t="shared" si="3" ref="D32:I32">SUM(D22:D31)</f>
        <v>29000000</v>
      </c>
      <c r="E32" s="596">
        <f t="shared" si="3"/>
        <v>29000000</v>
      </c>
      <c r="F32" s="596">
        <f>SUM(F22:F31)</f>
        <v>25404181</v>
      </c>
      <c r="G32" s="856">
        <f t="shared" si="3"/>
        <v>0</v>
      </c>
      <c r="H32" s="856">
        <f t="shared" si="3"/>
        <v>0</v>
      </c>
      <c r="I32" s="856">
        <f t="shared" si="3"/>
        <v>0</v>
      </c>
      <c r="J32" s="853" t="e">
        <f>H32/G32</f>
        <v>#DIV/0!</v>
      </c>
      <c r="K32" s="596">
        <f aca="true" t="shared" si="4" ref="K32:P32">SUM(K22:K31)</f>
        <v>0</v>
      </c>
      <c r="L32" s="596">
        <f t="shared" si="4"/>
        <v>0</v>
      </c>
      <c r="M32" s="596">
        <f t="shared" si="4"/>
        <v>0</v>
      </c>
      <c r="N32" s="596">
        <f t="shared" si="4"/>
        <v>0</v>
      </c>
      <c r="O32" s="596">
        <f t="shared" si="4"/>
        <v>0</v>
      </c>
      <c r="P32" s="596">
        <f t="shared" si="4"/>
        <v>0</v>
      </c>
      <c r="Q32" s="853" t="e">
        <f>O32/N32</f>
        <v>#DIV/0!</v>
      </c>
      <c r="R32" s="596">
        <f aca="true" t="shared" si="5" ref="R32:W32">SUM(R22:R31)</f>
        <v>29000000</v>
      </c>
      <c r="S32" s="596">
        <f t="shared" si="5"/>
        <v>29000000</v>
      </c>
      <c r="T32" s="596">
        <f>SUM(T22:T31)</f>
        <v>25404181</v>
      </c>
      <c r="U32" s="596">
        <f t="shared" si="5"/>
        <v>0</v>
      </c>
      <c r="V32" s="596">
        <f t="shared" si="5"/>
        <v>0</v>
      </c>
      <c r="W32" s="596">
        <f t="shared" si="5"/>
        <v>0</v>
      </c>
      <c r="X32" s="853" t="e">
        <f>V32/U32</f>
        <v>#DIV/0!</v>
      </c>
    </row>
    <row r="34" spans="11:18" ht="12.75">
      <c r="K34" s="78"/>
      <c r="L34" s="78"/>
      <c r="M34" s="78"/>
      <c r="N34" s="78"/>
      <c r="O34" s="78"/>
      <c r="P34" s="78"/>
      <c r="Q34" s="78"/>
      <c r="R34" s="78"/>
    </row>
  </sheetData>
  <sheetProtection/>
  <mergeCells count="10">
    <mergeCell ref="D20:J20"/>
    <mergeCell ref="K20:Q20"/>
    <mergeCell ref="R20:X20"/>
    <mergeCell ref="A32:B32"/>
    <mergeCell ref="A1:R1"/>
    <mergeCell ref="D3:J3"/>
    <mergeCell ref="K3:Q3"/>
    <mergeCell ref="R3:X3"/>
    <mergeCell ref="A16:B16"/>
    <mergeCell ref="A18:R18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scale="64" r:id="rId1"/>
  <headerFooter alignWithMargins="0">
    <oddHeader>&amp;CÖNKORMÁNYZATI BERUHÁZÁSOK ÉS FELÚJÍTÁSOK
2016.
&amp;R&amp;"Arial CE,Félkövér dőlt"7/a számú melléklet&amp;"Arial CE,Normál"
</oddHead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asbothm</cp:lastModifiedBy>
  <cp:lastPrinted>2016-07-04T10:44:45Z</cp:lastPrinted>
  <dcterms:created xsi:type="dcterms:W3CDTF">2000-01-07T08:44:52Z</dcterms:created>
  <dcterms:modified xsi:type="dcterms:W3CDTF">2016-07-04T11:01:28Z</dcterms:modified>
  <cp:category/>
  <cp:version/>
  <cp:contentType/>
  <cp:contentStatus/>
</cp:coreProperties>
</file>