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9435" windowHeight="3270" tabRatio="863" firstSheet="11" activeTab="17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1 sz. m Köz Hiv" sheetId="6" r:id="rId6"/>
    <sheet name="5.2 sz. m ÁMK" sheetId="7" r:id="rId7"/>
    <sheet name="6.a.sz.m.fejlesztés (3)" sheetId="8" r:id="rId8"/>
    <sheet name="6.b.sz.m.intfejl (2)" sheetId="9" r:id="rId9"/>
    <sheet name="7.sz.m.Dologi kiadás (3)" sheetId="10" r:id="rId10"/>
    <sheet name="8.sz.m.szociális kiadások (2)" sheetId="11" r:id="rId11"/>
    <sheet name="9.sz.m.átadott pe (3)" sheetId="12" r:id="rId12"/>
    <sheet name="10 .sz.m. Létszám (2)" sheetId="13" r:id="rId13"/>
    <sheet name="11.sz.m. Maradvány" sheetId="14" r:id="rId14"/>
    <sheet name="12.sz.m.Mérleg" sheetId="15" r:id="rId15"/>
    <sheet name="13. sz. m. EU (2)" sheetId="16" r:id="rId16"/>
    <sheet name="14.sz.m. állami támogatás " sheetId="17" r:id="rId17"/>
    <sheet name="15. sz.m. közvetett tám. (2)" sheetId="18" r:id="rId18"/>
    <sheet name="üres lap" sheetId="19" r:id="rId19"/>
  </sheets>
  <definedNames>
    <definedName name="_xlnm.Print_Area" localSheetId="1">'1 .sz.m.önk.össz.kiad.'!$A$1:$AK$66</definedName>
    <definedName name="_xlnm.Print_Area" localSheetId="0">'1.sz.m-önk.össze.bev'!$A$1:$AC$62</definedName>
    <definedName name="_xlnm.Print_Area" localSheetId="12">'10 .sz.m. Létszám (2)'!$A$1:$AI$16</definedName>
    <definedName name="_xlnm.Print_Area" localSheetId="2">'2.sz.m.összehasonlító'!$A$1:$P$31</definedName>
    <definedName name="_xlnm.Print_Area" localSheetId="3">'3.sz.m Önk  bev.'!$A$1:$AB$62</definedName>
    <definedName name="_xlnm.Print_Area" localSheetId="4">'4.sz.m.ÖNK kiadás'!$A$1:$AB$39</definedName>
    <definedName name="_xlnm.Print_Area" localSheetId="5">'5.1 sz. m Köz Hiv'!$A$1:$AA$48</definedName>
    <definedName name="_xlnm.Print_Area" localSheetId="6">'5.2 sz. m ÁMK'!$A$1:$W$48</definedName>
    <definedName name="_xlnm.Print_Area" localSheetId="7">'6.a.sz.m.fejlesztés (3)'!$A$1:$AA$32</definedName>
    <definedName name="_xlnm.Print_Area" localSheetId="8">'6.b.sz.m.intfejl (2)'!$A$1:$L$19</definedName>
    <definedName name="_xlnm.Print_Area" localSheetId="9">'7.sz.m.Dologi kiadás (3)'!$A$1:$AA$21</definedName>
    <definedName name="_xlnm.Print_Area" localSheetId="10">'8.sz.m.szociális kiadások (2)'!$A$1:$Z$34</definedName>
    <definedName name="_xlnm.Print_Area" localSheetId="11">'9.sz.m.átadott pe (3)'!$A$1:$AE$81</definedName>
    <definedName name="_xlnm.Print_Area" localSheetId="18">'üres lap'!$A$1:$R$44</definedName>
  </definedNames>
  <calcPr fullCalcOnLoad="1"/>
</workbook>
</file>

<file path=xl/sharedStrings.xml><?xml version="1.0" encoding="utf-8"?>
<sst xmlns="http://schemas.openxmlformats.org/spreadsheetml/2006/main" count="1626" uniqueCount="711">
  <si>
    <t>Személyi juttatások</t>
  </si>
  <si>
    <t>Összesen</t>
  </si>
  <si>
    <t>e Ft-ban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</si>
  <si>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</si>
  <si>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</si>
  <si>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</si>
  <si>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</si>
  <si>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</si>
  <si>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</si>
  <si>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</si>
  <si>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</si>
  <si>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</si>
  <si>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</si>
  <si>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</si>
  <si>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</si>
  <si>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B</t>
  </si>
  <si>
    <t>F</t>
  </si>
  <si>
    <t xml:space="preserve">FEJLESZTÉSEK (ÁFA-val) </t>
  </si>
  <si>
    <t>Intézmény</t>
  </si>
  <si>
    <t>Felújítás/beruházás</t>
  </si>
  <si>
    <t>Cím</t>
  </si>
  <si>
    <t>Önkormányzati bevételek és kiadások mérlege</t>
  </si>
  <si>
    <t>Összesen:</t>
  </si>
  <si>
    <t xml:space="preserve">Véglegesen Átadott pénzeszközök </t>
  </si>
  <si>
    <t>Államháztartáson kívülre</t>
  </si>
  <si>
    <t>Működési célú</t>
  </si>
  <si>
    <t xml:space="preserve">Felhalmozási célú </t>
  </si>
  <si>
    <t>2. számú melléklet</t>
  </si>
  <si>
    <t>Mindösszesen:</t>
  </si>
  <si>
    <t>Saját erő</t>
  </si>
  <si>
    <t>1.</t>
  </si>
  <si>
    <t>2.</t>
  </si>
  <si>
    <t>Szakmai tev. ellátók</t>
  </si>
  <si>
    <t>B/F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</si>
  <si>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</si>
  <si>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</si>
  <si>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</si>
  <si>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</si>
  <si>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</si>
  <si>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</si>
  <si>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</si>
  <si>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</si>
  <si>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</si>
  <si>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</si>
  <si>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</si>
  <si>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</si>
  <si>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</si>
  <si>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</si>
  <si>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</si>
  <si>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</si>
  <si>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</si>
  <si>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</si>
  <si>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1.4</t>
  </si>
  <si>
    <t>1.5</t>
  </si>
  <si>
    <t>Munkaadókat terhelő járulékok és szociális hozzájárulási adó</t>
  </si>
  <si>
    <t>Közfoglalkoztatottak száma önkormányzatnál</t>
  </si>
  <si>
    <t>KÖLTSÉGVETÉSI BEVÉTELEK ÉS KIADÁSOK EGYENLEGE</t>
  </si>
  <si>
    <t>3. sz. táblázat</t>
  </si>
  <si>
    <t>FINANSZÍROZÁSI CÉLÚ PÉNZÜGYI BEVÉTELEK ÉS KIADÁSOK EGYENLEGE ÖSSZESEN</t>
  </si>
  <si>
    <t>3. számú melléklet</t>
  </si>
  <si>
    <t>4. számú melléklet</t>
  </si>
  <si>
    <t xml:space="preserve">KÖLTSÉGVETÉSI SZERVEK FELHALMOZÁSI KIADÁSAI </t>
  </si>
  <si>
    <t xml:space="preserve">Ezer forintban </t>
  </si>
  <si>
    <t>8.</t>
  </si>
  <si>
    <t>9.</t>
  </si>
  <si>
    <t>4. számú melléklet 2.1 sorának részletezése</t>
  </si>
  <si>
    <t>4. számú melléklet 2.2 sorának részletezése</t>
  </si>
  <si>
    <t>Kötelező feladat</t>
  </si>
  <si>
    <t>Önként vállalt feladat</t>
  </si>
  <si>
    <t>kötelező</t>
  </si>
  <si>
    <t>önként vállalt</t>
  </si>
  <si>
    <t>Eredeti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</si>
  <si>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</si>
  <si>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</si>
  <si>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</si>
  <si>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</si>
  <si>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</si>
  <si>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</si>
  <si>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</si>
  <si>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</si>
  <si>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</si>
  <si>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</si>
  <si>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</si>
  <si>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</si>
  <si>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</si>
  <si>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</si>
  <si>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</si>
  <si>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</si>
  <si>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</si>
  <si>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</si>
  <si>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</si>
  <si>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</si>
  <si>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</si>
  <si>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</si>
  <si>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</si>
  <si>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</si>
  <si>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</si>
  <si>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</si>
  <si>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</si>
  <si>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</si>
  <si>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</si>
  <si>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</si>
  <si>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</si>
  <si>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</si>
  <si>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</si>
  <si>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</si>
  <si>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</si>
  <si>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</si>
  <si>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</si>
  <si>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</si>
  <si>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</si>
  <si>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Kötelező</t>
  </si>
  <si>
    <t>* Rehabilitációs hozzájárulás terhére</t>
  </si>
  <si>
    <t>Száma</t>
  </si>
  <si>
    <t>Előirányzat-csoport, kiemelt előirányzat megnevezése</t>
  </si>
  <si>
    <t>Bevételek</t>
  </si>
  <si>
    <t>I. Intézményi működési bevételek (1.1.+…+1.8.)</t>
  </si>
  <si>
    <t>1.1.</t>
  </si>
  <si>
    <t>1.2.</t>
  </si>
  <si>
    <t>1.3.</t>
  </si>
  <si>
    <t>1.4.</t>
  </si>
  <si>
    <t>II. Közhatalmi bevételek</t>
  </si>
  <si>
    <t>II. Átvett pénzeszközök  államháztartáson belülről (2.1.+2.4.)</t>
  </si>
  <si>
    <t>3.1.</t>
  </si>
  <si>
    <t>3.2.</t>
  </si>
  <si>
    <t xml:space="preserve"> - ebből EU támogatás</t>
  </si>
  <si>
    <t>3.3.</t>
  </si>
  <si>
    <t>3.4.</t>
  </si>
  <si>
    <t>III. Átvett pénzeszköz államháztartáson kívülről (3.1.+3.2.)</t>
  </si>
  <si>
    <t>4.1..</t>
  </si>
  <si>
    <t>Működési célú pénzeszközök átvétele államháztartáson kívülről</t>
  </si>
  <si>
    <t>4.2.</t>
  </si>
  <si>
    <t>Felhalmozási célú pénzeszközök átvétele államháztartáson kívülről</t>
  </si>
  <si>
    <t>IV. Önkormányzati támogatás</t>
  </si>
  <si>
    <t>Költségvetési bevételek összesen (1+…+4)</t>
  </si>
  <si>
    <t>V. Finanszírozási bevételek (6.1.+6.2.)</t>
  </si>
  <si>
    <t>7.1.</t>
  </si>
  <si>
    <t>Költségvetési maradvány igénybevétele</t>
  </si>
  <si>
    <t>7.2.</t>
  </si>
  <si>
    <t>Vállalkozási maradvány igénybevétele</t>
  </si>
  <si>
    <t>VI. Függő, átfutó, kiegyenlítő bevételek</t>
  </si>
  <si>
    <t>BEVÉTELEK ÖSSZESEN: (5+6+7)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</si>
  <si>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</si>
  <si>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</si>
  <si>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</si>
  <si>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</si>
  <si>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</si>
  <si>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</si>
  <si>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</si>
  <si>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</si>
  <si>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</si>
  <si>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</si>
  <si>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</si>
  <si>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</si>
  <si>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</si>
  <si>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</si>
  <si>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</si>
  <si>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</si>
  <si>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* Az intézmény csak kötelező feladatokat lát el.</t>
  </si>
  <si>
    <t>Állami (államigazgatási) feladat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</si>
  <si>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</si>
  <si>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</si>
  <si>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</si>
  <si>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KÜLSŐ FORRÁS BEVONÁSÁVAL - HITEL, KÖLCSÖN - FINANSZÍROZHATÓ HIÁNY ÖSSZEGE</t>
  </si>
  <si>
    <t>5. sz. táblázat</t>
  </si>
  <si>
    <t>Finanszírozási müveletek egyenlege (1.1.-1.2.)+/-</t>
  </si>
  <si>
    <t xml:space="preserve">   1.1.</t>
  </si>
  <si>
    <t>Finanszírozási bevételek (1.melléklet 1.sz.táblázat 11. sor)</t>
  </si>
  <si>
    <t xml:space="preserve">     1.1.1.</t>
  </si>
  <si>
    <t xml:space="preserve">     1.1.2.</t>
  </si>
  <si>
    <t xml:space="preserve"> 1.2.</t>
  </si>
  <si>
    <t>Finanszírozási kiadások (1. melléklet 2. sz. táblázat 6. sor)</t>
  </si>
  <si>
    <t xml:space="preserve">   1.2.1.</t>
  </si>
  <si>
    <t xml:space="preserve">   1.2.2.</t>
  </si>
  <si>
    <t>Hiány belső finanszírozása (pénzmaravány)</t>
  </si>
  <si>
    <t>Hiány külső finanszírozása (hitel)</t>
  </si>
  <si>
    <t>Működési bevételek összesen</t>
  </si>
  <si>
    <t>Működési hitelek törlesztése</t>
  </si>
  <si>
    <t>Működési kiadások összesen</t>
  </si>
  <si>
    <t>1. Felhalmozási támogatások államháztartáson belülről</t>
  </si>
  <si>
    <t>2. Felhalmozási támogatások államháztartáson kívülről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</si>
  <si>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</si>
  <si>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</si>
  <si>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</si>
  <si>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</si>
  <si>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</si>
  <si>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</si>
  <si>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</si>
  <si>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</si>
  <si>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</si>
  <si>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</si>
  <si>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</si>
  <si>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</si>
  <si>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</si>
  <si>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</si>
  <si>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</si>
  <si>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</si>
  <si>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</si>
  <si>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</si>
  <si>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</si>
  <si>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</si>
  <si>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</si>
  <si>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</si>
  <si>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</si>
  <si>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</si>
  <si>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1.5.2 és 2.3.1 sorainak részletezése</t>
  </si>
  <si>
    <t>6. sz. táblázat</t>
  </si>
  <si>
    <t>2. sz. táblázat</t>
  </si>
  <si>
    <t>5.1 számú melléklet</t>
  </si>
  <si>
    <t>5.2 számú melléklet</t>
  </si>
  <si>
    <t>10. számú melléklet</t>
  </si>
  <si>
    <t>Működési célú bevételek és kiadások mérlege</t>
  </si>
  <si>
    <t>felhalmozási célú bevételek és kiadások mérlege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</si>
  <si>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</si>
  <si>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</si>
  <si>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</si>
  <si>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</si>
  <si>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Üzemeltetési tev. ellátók</t>
  </si>
  <si>
    <t>Rehabilitációs foglalkoztatott *</t>
  </si>
  <si>
    <t>Előirányzat Kötelező</t>
  </si>
  <si>
    <t>Ö</t>
  </si>
  <si>
    <t>K</t>
  </si>
  <si>
    <t>2.3.4</t>
  </si>
  <si>
    <t>Befektetési célú részesedések</t>
  </si>
  <si>
    <t>V. Finanszírozási kiadások</t>
  </si>
  <si>
    <t>* A közös hivatal önként vállalt feladatot nem lát el</t>
  </si>
  <si>
    <t xml:space="preserve">Közös Hivatal  </t>
  </si>
  <si>
    <t>Önkormányzat</t>
  </si>
  <si>
    <t>Beledi Általános Művelődési Központ</t>
  </si>
  <si>
    <t>Beledi Általános Művelődési Központ*</t>
  </si>
  <si>
    <t>Arany János Program</t>
  </si>
  <si>
    <t>Szociális ösztöndíj - BURSA</t>
  </si>
  <si>
    <t>Első lakáshoz jutók támogatása</t>
  </si>
  <si>
    <t>Civil szervezetek támogatása</t>
  </si>
  <si>
    <t>Sporttevékenység támogatása</t>
  </si>
  <si>
    <t>Beledi Közös Önkormányzati Hivatal*</t>
  </si>
  <si>
    <t>Államháztartáson belülre</t>
  </si>
  <si>
    <t>4. számú melléklet 1.5.3 és 2.3.2 sorainak részletezése</t>
  </si>
  <si>
    <t>Orvosi ügyelet</t>
  </si>
  <si>
    <t>Rendőrörs</t>
  </si>
  <si>
    <t>Közigazgatási Kar.</t>
  </si>
  <si>
    <t>KÖSZ</t>
  </si>
  <si>
    <t>TÖOSZ</t>
  </si>
  <si>
    <t>Területfejlesztési Tanács</t>
  </si>
  <si>
    <t>mód. I.</t>
  </si>
  <si>
    <t>Mód. I.</t>
  </si>
  <si>
    <t>eredeti</t>
  </si>
  <si>
    <t>Eredeti ei.</t>
  </si>
  <si>
    <t>Mód. II.</t>
  </si>
  <si>
    <t>mód. II.</t>
  </si>
  <si>
    <t>Beledi Szociális és Gyermekjóléti Társulás</t>
  </si>
  <si>
    <t>Mód. III.</t>
  </si>
  <si>
    <t>mód. III.</t>
  </si>
  <si>
    <t>III. Tartalék</t>
  </si>
  <si>
    <t>Teljesítés</t>
  </si>
  <si>
    <t>Telj. %</t>
  </si>
  <si>
    <t>Költségvetési és finanszírozási kiadások</t>
  </si>
  <si>
    <t>Függő, átfutó, kiegyenlítő kiadások</t>
  </si>
  <si>
    <t>Függő, átfutó, kiegyenlítő bevételek</t>
  </si>
  <si>
    <t>2013. június 30.</t>
  </si>
  <si>
    <t>Rábaköz Vidékfejlesztési Egyesület tagdíj</t>
  </si>
  <si>
    <t>DRÖTT átvezetés</t>
  </si>
  <si>
    <t>Árvíz során keletkezett károk helyreállítása</t>
  </si>
  <si>
    <t>Móvár Nagytérségi Hulladékgazd. Témamenedzselés</t>
  </si>
  <si>
    <t>Telj.</t>
  </si>
  <si>
    <t xml:space="preserve"> </t>
  </si>
  <si>
    <t>Függő, átfutó, kiegyenlítő bevételelk</t>
  </si>
  <si>
    <t>Mód. IV.</t>
  </si>
  <si>
    <t>Eredeti, Mód. I, II., III., I.</t>
  </si>
  <si>
    <t>0</t>
  </si>
  <si>
    <t>2013. július 1.</t>
  </si>
  <si>
    <t>Mód. V.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</si>
  <si>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</si>
  <si>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</si>
  <si>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</si>
  <si>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</si>
  <si>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</si>
  <si>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</si>
  <si>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</si>
  <si>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</si>
  <si>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</si>
  <si>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 xml:space="preserve">II.1 Óvodapedagógusok  és a nevelőmunkát közvetlenül támogatók bértámogatása </t>
  </si>
  <si>
    <t>II.2 Óvodaműködtetési támogatás</t>
  </si>
  <si>
    <t>III.1. Egyes jövedelempótló támogatások (Évközben igényelt)</t>
  </si>
  <si>
    <t>III.2. Hozzájárulás a pénzbeli szociális ellátásokhoz</t>
  </si>
  <si>
    <t>3.) Szociális és gyermekjóléti alapszolgáltatás</t>
  </si>
  <si>
    <t xml:space="preserve">       ebből: Társulási kiegészítés</t>
  </si>
  <si>
    <t>4.) Szociális étkeztetés</t>
  </si>
  <si>
    <t>5.) Házi segítégnyújtás</t>
  </si>
  <si>
    <t>6.) Gyermekek napközbeni ellátása</t>
  </si>
  <si>
    <t>III.3 Egyes szociális és gyermekjóléti feladatok támogatás</t>
  </si>
  <si>
    <t>Lakott külterület támogatás</t>
  </si>
  <si>
    <t>Nyári gyermekétkeztetés</t>
  </si>
  <si>
    <t>K/Ö</t>
  </si>
  <si>
    <t>Támogatás</t>
  </si>
  <si>
    <t>Telekadó</t>
  </si>
  <si>
    <t>Magánszemélyek kommunális adója</t>
  </si>
  <si>
    <t>Talajterhelési díj</t>
  </si>
  <si>
    <t>2.4</t>
  </si>
  <si>
    <t>Költségvetési bevételek összesen (1+…+3)</t>
  </si>
  <si>
    <t>V. Finanszírozási bevételek (5.1.+…+5.3.)</t>
  </si>
  <si>
    <t>Iríányítószervi (önkormányzati) támogatás</t>
  </si>
  <si>
    <t>BEVÉTELEK ÖSSZESEN: (4+5)</t>
  </si>
  <si>
    <t>KIADÁSOK ÖSSZESEN: (1+2)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</si>
  <si>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</si>
  <si>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</si>
  <si>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</si>
  <si>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</si>
  <si>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</si>
  <si>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</si>
  <si>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Likviditási célú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</si>
  <si>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</si>
  <si>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</si>
  <si>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</si>
  <si>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</si>
  <si>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</si>
  <si>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</si>
  <si>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</si>
  <si>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</si>
  <si>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</si>
  <si>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</si>
  <si>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</si>
  <si>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</si>
  <si>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</si>
  <si>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</si>
  <si>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</si>
  <si>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</si>
  <si>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</si>
  <si>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</si>
  <si>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</si>
  <si>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</si>
  <si>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</si>
  <si>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</si>
  <si>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 vagyon üzemeltetéséből származó bevétel</t>
  </si>
  <si>
    <t>Önkormányzati vagyon vagyonkezelésbe adásából származó bevétel</t>
  </si>
  <si>
    <t>Kapott osztalék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</si>
  <si>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</si>
  <si>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</si>
  <si>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</si>
  <si>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</si>
  <si>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</si>
  <si>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</si>
  <si>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</si>
  <si>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Működési célú központosított előirányzatok</t>
  </si>
  <si>
    <t>Egyéb működési célú támogatás államháztartáson belülről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</si>
  <si>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</si>
  <si>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</si>
  <si>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</si>
  <si>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</si>
  <si>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</si>
  <si>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</si>
  <si>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</si>
  <si>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</si>
  <si>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</si>
  <si>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</si>
  <si>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</si>
  <si>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</si>
  <si>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</si>
  <si>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</si>
  <si>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Hosszú lejáratú hitelek, kölcsönök felvétele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</si>
  <si>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</si>
  <si>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</si>
  <si>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</si>
  <si>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</si>
  <si>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</si>
  <si>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</si>
  <si>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</si>
  <si>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Felhalmozási támogatás államháztartáson kívűlről</t>
  </si>
  <si>
    <t>I. Intézményi működési bevételek</t>
  </si>
  <si>
    <t xml:space="preserve">I. Intézményi működési bevételek </t>
  </si>
  <si>
    <t>Kastély tetőfelújítás</t>
  </si>
  <si>
    <t>Beledi Közös Önkormányzati Hiatal</t>
  </si>
  <si>
    <t>ügyviteli, számtech. eszközök beszerzése</t>
  </si>
  <si>
    <t>eFt</t>
  </si>
  <si>
    <t>Kaouvári Többcélú Kistérség</t>
  </si>
  <si>
    <t>01. Helyi önkormányzatok működésének általnos támogatása</t>
  </si>
  <si>
    <t>I.1.c) Egyéb önkormányzati feladatok támogatása</t>
  </si>
  <si>
    <t>02. Települési önkormányzatok egyes köznevelési feladatainak támogatása</t>
  </si>
  <si>
    <t>III.5. Gyermekétkeztetés támogatása</t>
  </si>
  <si>
    <t>III. 5. b üzemeltetési támogatás</t>
  </si>
  <si>
    <t>III. 5. a elismert dologzók bértámogatása</t>
  </si>
  <si>
    <t>3. Települési önkormányzatok szociális és gyermekjóléti feladatainak támogatása</t>
  </si>
  <si>
    <t>4. Önkormányzatok kulturális feladat támogatása</t>
  </si>
  <si>
    <t>adatok eFt-ban</t>
  </si>
  <si>
    <t>4.3</t>
  </si>
  <si>
    <t>Önkormányzatok felhalmozási központi támogatása</t>
  </si>
  <si>
    <t>ebből: kisértékű eszköz beszerzése</t>
  </si>
  <si>
    <t>e-útdíj - bevétel kiesés ellentételezése (központosított működési)</t>
  </si>
  <si>
    <t>Ágazati pótlék (központi működési)</t>
  </si>
  <si>
    <t>Előző évtől áthúzódó bérkompenzáció (központosított működési)</t>
  </si>
  <si>
    <t>Fejlesztési támogatás (sportcsarnok - felhalmozási)</t>
  </si>
  <si>
    <t>Közművelődési érdekeltségnövelő támogatás (felalmozási)</t>
  </si>
  <si>
    <t>8. számú melléklet</t>
  </si>
  <si>
    <t>9. számú melléklet</t>
  </si>
  <si>
    <t>Telj.%</t>
  </si>
  <si>
    <t>3.5</t>
  </si>
  <si>
    <t>3.5.1</t>
  </si>
  <si>
    <t>3.5.2</t>
  </si>
  <si>
    <t>3.5.3</t>
  </si>
  <si>
    <t>Helyi önkormányzatok kiegészítő támogatása</t>
  </si>
  <si>
    <t>Kapuvári Vízitársulat</t>
  </si>
  <si>
    <t>ebből: Vicai Kat.Egyház</t>
  </si>
  <si>
    <t>Tűzoltóegyesület</t>
  </si>
  <si>
    <t>Vicai Ifjúsági Egyesület</t>
  </si>
  <si>
    <t>Magyar Máltai Szeretetszolgálat</t>
  </si>
  <si>
    <t>Delta Testépítő Klub</t>
  </si>
  <si>
    <t>Gyermeknap</t>
  </si>
  <si>
    <t>Tégy a Tehetségért Alapítvány</t>
  </si>
  <si>
    <t>Horgász Egyesület</t>
  </si>
  <si>
    <t>Beledi Katolikus Egyesület</t>
  </si>
  <si>
    <t>Beledi Ifjúsági Egyesület</t>
  </si>
  <si>
    <t>Beledi Evangélikus Egyház</t>
  </si>
  <si>
    <t>Beledi Baráti Kör</t>
  </si>
  <si>
    <t>Beledi Asztalitenisz Klub</t>
  </si>
  <si>
    <t>Beled Jövőjéért Egyesület</t>
  </si>
  <si>
    <t>ESZK nyári tábor</t>
  </si>
  <si>
    <t>Ezüstfenyő Nyugdíjas Klub</t>
  </si>
  <si>
    <t>Beled SE kézilabda</t>
  </si>
  <si>
    <t>Kaució visszafizetése</t>
  </si>
  <si>
    <t>Önkormányzat dologi kiadásai</t>
  </si>
  <si>
    <t>4. számú melléklet 1.3 sorának részletezése</t>
  </si>
  <si>
    <t xml:space="preserve">Kötelező </t>
  </si>
  <si>
    <t>Önként vállalt</t>
  </si>
  <si>
    <t>Önkormányzatok jogalkotó és általános igazgatási feladatok</t>
  </si>
  <si>
    <t>Nem veszélyes hulladék szállítása</t>
  </si>
  <si>
    <t>Közutak üzemeltetése, fenntartása</t>
  </si>
  <si>
    <t>Egyéb szárazföldi személyszállítás</t>
  </si>
  <si>
    <t>Közvilágítási feladatok</t>
  </si>
  <si>
    <t>Város- és községgazdálkodás</t>
  </si>
  <si>
    <t>Katasztrófavédelmi tevékenység</t>
  </si>
  <si>
    <t>Család- és nővédelmi ellátás</t>
  </si>
  <si>
    <t>Ifjúság-, egészségügyi gondozás</t>
  </si>
  <si>
    <t>Hosszabb időtartamú közfoglalkoztatás</t>
  </si>
  <si>
    <t>Köztemető fenntartása</t>
  </si>
  <si>
    <t>ÖSSZESEN:</t>
  </si>
  <si>
    <t xml:space="preserve">SZOCIÁLIS ÉS GYERMEKJÓLÉTI ELLÁTÁSOK                                   Önkormányzat                               
</t>
  </si>
  <si>
    <t>4. számú melléklet 1.4 sorának részletezése</t>
  </si>
  <si>
    <t>Szociális ellátások</t>
  </si>
  <si>
    <t>Kötelező/     önként vállalt</t>
  </si>
  <si>
    <t xml:space="preserve">Központi támogatás </t>
  </si>
  <si>
    <t>Temetési segély 46. §</t>
  </si>
  <si>
    <t xml:space="preserve">SZOCIÁLIS ÉS GYERMEKJÓLÉTI ELLÁTÁSOK                                  Közös Hivatal
</t>
  </si>
  <si>
    <t>Aktív korúak ellátása - rendszeres szociális  Szt. 37 §</t>
  </si>
  <si>
    <t>Aktív korúak ellátása - rendszeres szociális  Szt. 33 §</t>
  </si>
  <si>
    <t>Aktív korúak ellátása  - foglalkoztatást helyettesítő támogatás -  Szt. 33.§</t>
  </si>
  <si>
    <t>Lakásfenntartási támogatás normatív Szt.38 § a)</t>
  </si>
  <si>
    <t>Kiegészítő  gyermekvédelmi tám. Gyvt.20/B.§</t>
  </si>
  <si>
    <t>Kózgyógyellátás</t>
  </si>
  <si>
    <t>Ápolási díj (áthúzódó 2012. évről)</t>
  </si>
  <si>
    <t>13. számú melléklet</t>
  </si>
  <si>
    <t>Önkormányzaton és intézményein belül megvalósuló projektek (támogatási szerződéssel rendelkező)</t>
  </si>
  <si>
    <t>E Ft-ban</t>
  </si>
  <si>
    <t xml:space="preserve">Bevételek </t>
  </si>
  <si>
    <t xml:space="preserve">Kiadások </t>
  </si>
  <si>
    <t>Projekt megvalósítás</t>
  </si>
  <si>
    <t>Pénzmaradvány</t>
  </si>
  <si>
    <t>Összes bevétel</t>
  </si>
  <si>
    <t>Összes kiadás</t>
  </si>
  <si>
    <t xml:space="preserve">Támogatás </t>
  </si>
  <si>
    <t>Saját forrás , támogatás megelőlegezés</t>
  </si>
  <si>
    <t>Saját forrás</t>
  </si>
  <si>
    <t>Téli közfoglalkoztatás</t>
  </si>
  <si>
    <t>Zöldterület kezelése</t>
  </si>
  <si>
    <t>1. számú melléklet</t>
  </si>
  <si>
    <t>teljesítés</t>
  </si>
  <si>
    <t>telj %</t>
  </si>
  <si>
    <t xml:space="preserve">KÖZVETETT TÁMOGATÁSOK 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</si>
  <si>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</si>
  <si>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</si>
  <si>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</si>
  <si>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</si>
  <si>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</si>
  <si>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</si>
  <si>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</si>
  <si>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 xml:space="preserve">rendeleti </t>
  </si>
  <si>
    <t>Iparűzési adó</t>
  </si>
  <si>
    <t>Gépjármű adó</t>
  </si>
  <si>
    <t>Ellátottak térítési díjának kedvezménye</t>
  </si>
  <si>
    <t>Kedvezmények összesen</t>
  </si>
  <si>
    <t>Étkezési díj</t>
  </si>
  <si>
    <t>15. számú melléklet</t>
  </si>
  <si>
    <t>2014. december 31.</t>
  </si>
  <si>
    <t>Önkormányzat költségvetési szerveinek 2015. évi létszámkerete</t>
  </si>
  <si>
    <t>2015. január 1.</t>
  </si>
  <si>
    <t>évközbeni változás</t>
  </si>
  <si>
    <t>Szabadidőpark létesítése</t>
  </si>
  <si>
    <t>Napemelemek beruházás önerő</t>
  </si>
  <si>
    <t>Betonáru irodaépület felújítása</t>
  </si>
  <si>
    <t>Sportcsarnok tűzjelző rendszer</t>
  </si>
  <si>
    <t>Sportcsarnok fűtéskorszerűsítés</t>
  </si>
  <si>
    <t>70 db szék ebédlőbe</t>
  </si>
  <si>
    <t>1 db 300 l-es fagyasztóláda</t>
  </si>
  <si>
    <t>laptop beszerzése élelmezésvezetőnek</t>
  </si>
  <si>
    <t>hűtőszekrény, mikorhullámú sütő óvodába</t>
  </si>
  <si>
    <t>laptop beszerzése óvodába</t>
  </si>
  <si>
    <t>Települési támogatás - gyógszertámogatás</t>
  </si>
  <si>
    <t>Települési támogatás - temetési támogatás</t>
  </si>
  <si>
    <t>Rendkívüli települési támogatás</t>
  </si>
  <si>
    <t>Köztemetés</t>
  </si>
  <si>
    <t>Fogorvosi ügyelet Sopron</t>
  </si>
  <si>
    <t>MAZSIHISZ</t>
  </si>
  <si>
    <t>Beled Sportegyesület</t>
  </si>
  <si>
    <t xml:space="preserve">Európai Uniós támogatással megvalósuló  programok, projektek 2015. évi bevételei és kiadásai  </t>
  </si>
  <si>
    <t>A 2015. évi általános működés és ágazati feladatok támogatásának alakulása jogcímenként</t>
  </si>
  <si>
    <t>Önkormányzat összevont 2015. évi bevételi előirányzatai</t>
  </si>
  <si>
    <t>Önkormányzat 2015. évi bevételi előirányzatai</t>
  </si>
  <si>
    <t>Önkormányzat 2015. évi kiadási előirányzatai</t>
  </si>
  <si>
    <t xml:space="preserve">2015. év </t>
  </si>
  <si>
    <t>2015. év</t>
  </si>
  <si>
    <t>2015.</t>
  </si>
  <si>
    <t>EMVA LEADER 11/2013. (III. 5.) rendelet</t>
  </si>
  <si>
    <t>5.4</t>
  </si>
  <si>
    <t>ÁH belüli megelőlegezések visszafizetései</t>
  </si>
  <si>
    <t>6.3</t>
  </si>
  <si>
    <t>I.6. előző évről áthúzódó bérkompenzáció</t>
  </si>
  <si>
    <t>III.6 Szociális ágazati pótlék</t>
  </si>
  <si>
    <t>Bérkompenzáció (központosított működési)</t>
  </si>
  <si>
    <t>Könyvtári célú érdekeltségnövelő támogatás</t>
  </si>
  <si>
    <t>BURSA</t>
  </si>
  <si>
    <t>Vöröskereszt</t>
  </si>
  <si>
    <t>Vakok és gyengénlátók</t>
  </si>
  <si>
    <t>Beled Ált.Isk.Diákönk.</t>
  </si>
  <si>
    <t>Egyházak támogatása</t>
  </si>
  <si>
    <t>Beregrákosi Református Egyházközség</t>
  </si>
  <si>
    <t>Egyházmegyei Levéltár Győr</t>
  </si>
  <si>
    <t>egyéb</t>
  </si>
  <si>
    <t>Lövészklub (MTTSZ)</t>
  </si>
  <si>
    <t>telj. %</t>
  </si>
  <si>
    <t>2015. június 30.</t>
  </si>
  <si>
    <t>2015. június 30. teljesítés</t>
  </si>
  <si>
    <t>Ülőpadtartó lábak</t>
  </si>
  <si>
    <t>Irodai szék beszerzése</t>
  </si>
  <si>
    <t>Városközpont felújításának útépítési engedélye</t>
  </si>
  <si>
    <t>Hársfa utca burkolat megerősítés tervezése</t>
  </si>
  <si>
    <t>Rendezési terv módosítása</t>
  </si>
  <si>
    <t>Nyári gyermekétkeztetés (3.m.I.3.)</t>
  </si>
  <si>
    <t>Könyvtári érdekeltségnövelő támogatás (IV. 1.i.)</t>
  </si>
  <si>
    <t>mód. IV.</t>
  </si>
  <si>
    <t>Gyermekvédelmi Erzsébet utalvány</t>
  </si>
  <si>
    <t>mód. III., IV.</t>
  </si>
  <si>
    <t>Szociális ágazati pótlék kiegészítő támogatás</t>
  </si>
  <si>
    <t>mód. V,</t>
  </si>
  <si>
    <t>Államháztartáson belüli megelőlegezés</t>
  </si>
  <si>
    <t>2015. december 31.</t>
  </si>
  <si>
    <t>Játszótér létrehozása</t>
  </si>
  <si>
    <t>Lombseprű és sövénynyíró beszrzése</t>
  </si>
  <si>
    <t>Karácsonyi díszkivilágítás beszerzése (hópihe tartóval)</t>
  </si>
  <si>
    <t>tárolóládák beszerzése konyhára</t>
  </si>
  <si>
    <t>Szociális tűzifa</t>
  </si>
  <si>
    <t>mód. V.</t>
  </si>
  <si>
    <t>Nagycenk Nagyközség Önkormányzata</t>
  </si>
  <si>
    <t>Régi Beled Baráti Kör</t>
  </si>
  <si>
    <t>Fidesz-Magyar Polgári Szövetség</t>
  </si>
  <si>
    <t>Egészséges Óvodás Gyermekekért Alapítvány</t>
  </si>
  <si>
    <t>Rendkívüli önkormányzati támogatás</t>
  </si>
  <si>
    <t>Szociális tüzelőanyag támogatás</t>
  </si>
  <si>
    <t>Államháztartáson belüli megelőlegezések</t>
  </si>
  <si>
    <t>2015. évi belső forrásból fedezhető működési hiány</t>
  </si>
  <si>
    <t xml:space="preserve">2015 évi belső  forrásból fedezhető felhalmozási hiány </t>
  </si>
  <si>
    <t>2015. évi belső forrásból fedezhető összes hiány (1.+2.)</t>
  </si>
  <si>
    <t xml:space="preserve">2015. évi külső forrásból fedezhető működési hiány </t>
  </si>
  <si>
    <t xml:space="preserve">2015 évi külső forrásból fedezhető felhalmozási hiány </t>
  </si>
  <si>
    <t>2015. évi külső forrásból fedezhető összes hiány (1.+2.)</t>
  </si>
  <si>
    <t>2015. december 31. Teljesítés</t>
  </si>
  <si>
    <t>Készletbeszerzés konyhára</t>
  </si>
  <si>
    <t>Sportegyesület (rezsitámogatással együtt)</t>
  </si>
  <si>
    <t>Eredeti ei., mód. V.</t>
  </si>
  <si>
    <t>EMVA LEADER 35/2013. (V. 22.) VM  rendelet</t>
  </si>
  <si>
    <t>Sétautak és pihenőhelyek kialakítása a közösségi téren Beledben (áthúzódó)</t>
  </si>
  <si>
    <t>kapott támogatás</t>
  </si>
  <si>
    <t>elszámolás szerint megillető támogatás</t>
  </si>
  <si>
    <t>felhasznált támogatás</t>
  </si>
  <si>
    <t>támogatás kiutalás (+) /visszafizetés (-)</t>
  </si>
  <si>
    <t>ámk: 5.111.538</t>
  </si>
  <si>
    <t>6/b. számú melléklet</t>
  </si>
  <si>
    <t>7. számú melléklet</t>
  </si>
  <si>
    <t>#</t>
  </si>
  <si>
    <t>01</t>
  </si>
  <si>
    <t>02</t>
  </si>
  <si>
    <t>03</t>
  </si>
  <si>
    <t>04</t>
  </si>
  <si>
    <t>05</t>
  </si>
  <si>
    <t>06</t>
  </si>
  <si>
    <t>07</t>
  </si>
  <si>
    <t>16</t>
  </si>
  <si>
    <t>Közös Hivatal</t>
  </si>
  <si>
    <t>Maradványkimutatás</t>
  </si>
  <si>
    <t>11. sz. melléklet</t>
  </si>
  <si>
    <t>Alaptevékenység költségvetési bevételei</t>
  </si>
  <si>
    <t>Alaptevékenység finanszírozási bevételei</t>
  </si>
  <si>
    <t>Alaptevékenység kötelezettségvállalással terhelt maradványa</t>
  </si>
  <si>
    <t>Alaptevékenység szabad maradványa</t>
  </si>
  <si>
    <t>Összes maradvány</t>
  </si>
  <si>
    <t xml:space="preserve">Alaptevékenység maradványa </t>
  </si>
  <si>
    <t>Alaptevékenység finanszírozási egyenlege</t>
  </si>
  <si>
    <t>Beledi ÁMK</t>
  </si>
  <si>
    <t>08</t>
  </si>
  <si>
    <t>09</t>
  </si>
  <si>
    <t>10</t>
  </si>
  <si>
    <t>Alaptevékenység finanszírozási kiadásai</t>
  </si>
  <si>
    <t>Alaptevékenység költségvetési kiadásai</t>
  </si>
  <si>
    <t xml:space="preserve">Alaptevékenység költségvetési egyenlege </t>
  </si>
  <si>
    <t>Előző időszak</t>
  </si>
  <si>
    <t>Tárgyi időszak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</si>
  <si>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</si>
  <si>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</si>
  <si>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</si>
  <si>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</si>
  <si>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11</t>
  </si>
  <si>
    <t>A/III/1 Tartós részesedések (=A/III/1a+…+A/III/1e)</t>
  </si>
  <si>
    <t>13</t>
  </si>
  <si>
    <t>A/III/1b - ebből: tartós részesedések nem pénzügyi vállalkozásban</t>
  </si>
  <si>
    <t>A/III/1e - ebből: egyéb tartós részesedések</t>
  </si>
  <si>
    <t>21</t>
  </si>
  <si>
    <t>A/III Befektetett pénzügyi eszközök (=A/III/1+A/III/2+A/III/3)</t>
  </si>
  <si>
    <t>28</t>
  </si>
  <si>
    <t>A) NEMZETI VAGYONBA TARTOZÓ BEFEKTETETT ESZKÖZÖK (=A/I+A/II+A/III+A/IV)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</si>
  <si>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</si>
  <si>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</si>
  <si>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</si>
  <si>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</si>
  <si>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</si>
  <si>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</si>
  <si>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</si>
  <si>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</si>
  <si>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</si>
  <si>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</si>
  <si>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</si>
  <si>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</si>
  <si>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</si>
  <si>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</si>
  <si>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</si>
  <si>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</si>
  <si>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</si>
  <si>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</si>
  <si>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71</t>
  </si>
  <si>
    <t>D/I/4b - ebből: költségvetési évben esedékes követelések tulajdonosi bevételekre</t>
  </si>
  <si>
    <t>73</t>
  </si>
  <si>
    <t>D/I/4d - ebből: költségvetési évben esedékes követelések kiszámlázott általános forgalmi adóra</t>
  </si>
  <si>
    <t>101</t>
  </si>
  <si>
    <t>D/I Költségvetési évben esedékes követelések (=D/I/1+…+D/I/8)</t>
  </si>
  <si>
    <t>113</t>
  </si>
  <si>
    <t>D/II/4 Költségvetési évet követően esedékes követelések működési bevételre (=D/II/4a+…+D/II/4i)</t>
  </si>
  <si>
    <t>114</t>
  </si>
  <si>
    <t>D/II/4a - ebből: költségvetési évet követően esedékes követelések készletértékesítés ellenértékére, szolgáltatások ellenértékére, közvetített szolgáltatások ellenértékére</t>
  </si>
  <si>
    <t>117</t>
  </si>
  <si>
    <t>D/II/4d - ebből: költségvetési évet követően esedékes követelések kiszámlázott általános forgalmi adóra</t>
  </si>
  <si>
    <t>141</t>
  </si>
  <si>
    <t>D/II Költségvetési évet követően esedékes követelések (=D/II/1+…+D/II/8)</t>
  </si>
  <si>
    <t>142</t>
  </si>
  <si>
    <t>D/III/1 Adott előlegek (=D/III/1a+…+D/III/1f)</t>
  </si>
  <si>
    <t>146</t>
  </si>
  <si>
    <t>D/III/1d - ebből: igénybe vett szolgáltatásra adott előlegek</t>
  </si>
  <si>
    <t>151</t>
  </si>
  <si>
    <t>D/III/4 Forgótőke elszámolása</t>
  </si>
  <si>
    <t>157</t>
  </si>
  <si>
    <t>D/III Követelés jellegű sajátos elszámolások (=D/III/1+…+D/III/9)</t>
  </si>
  <si>
    <t>158</t>
  </si>
  <si>
    <t>D) KÖVETELÉSEK  (=D/I+D/II+D/III)</t>
  </si>
  <si>
    <t>159</t>
  </si>
  <si>
    <t>E/I December havi illetmények, munkabérek elszámolása</t>
  </si>
  <si>
    <t>161</t>
  </si>
  <si>
    <t>E) EGYÉB SAJÁTOS ESZKÖZOLDALI  ELSZÁMOLÁSOK (=E/I+…+E/II)</t>
  </si>
  <si>
    <t>166</t>
  </si>
  <si>
    <t>ESZKÖZÖK ÖSSZESEN (=A+B+C+D+E+F)</t>
  </si>
  <si>
    <t>167</t>
  </si>
  <si>
    <t>G/I  Nemzeti vagyon induláskori értéke</t>
  </si>
  <si>
    <t>169</t>
  </si>
  <si>
    <t>G/III Egyéb eszközök induláskori értéke és változásai</t>
  </si>
  <si>
    <t>170</t>
  </si>
  <si>
    <t>G/IV Felhalmozott eredmény</t>
  </si>
  <si>
    <t>172</t>
  </si>
  <si>
    <t>G/VI Mérleg szerinti eredmény</t>
  </si>
  <si>
    <t>173</t>
  </si>
  <si>
    <t>G/ SAJÁT TŐKE  (= G/I+…+G/VI)</t>
  </si>
  <si>
    <t>176</t>
  </si>
  <si>
    <t>H/I/3 Költségvetési évben esedékes kötelezettségek dologi kiadásokra</t>
  </si>
  <si>
    <t>177</t>
  </si>
  <si>
    <t>H/I/4 Költségvetési évben esedékes kötelezettségek ellátottak pénzbeli juttatásaira</t>
  </si>
  <si>
    <t>178</t>
  </si>
  <si>
    <t>H/I/5 Költségvetési évben esedékes kötelezettségek egyéb működési célú kiadásokra (&gt;=H/I/5a+H/I/5b)</t>
  </si>
  <si>
    <t>199</t>
  </si>
  <si>
    <t>H/I Költségvetési évben esedékes kötelezettségek (=H/I/1+…+H/I/9)</t>
  </si>
  <si>
    <t>204</t>
  </si>
  <si>
    <t>H/II/5 Költségvetési évet követően esedékes kötelezettségek egyéb működési célú kiadásokra (&gt;=H/II/5a+H/II/5b)</t>
  </si>
  <si>
    <t>212</t>
  </si>
  <si>
    <t>H/II/9 Költségvetési évet követően esedékes kötelezettségek finanszírozási kiadásokra (&gt;=H/II/9a+…+H/II/9i)</t>
  </si>
  <si>
    <t>222</t>
  </si>
  <si>
    <t>H/II Költségvetési évet követően esedékes kötelezettségek (=H/II/1+…+H/II/9)</t>
  </si>
  <si>
    <t>228</t>
  </si>
  <si>
    <t>H/III/3 Más szervezetet megillető bevételek elszámolása</t>
  </si>
  <si>
    <t>236</t>
  </si>
  <si>
    <t>H/III Kötelezettség jellegű sajátos elszámolások (=H/III/1+…+H/III/10)</t>
  </si>
  <si>
    <t>237</t>
  </si>
  <si>
    <t>H) KÖTELEZETTSÉGEK (=H/I+H/II+H/III)</t>
  </si>
  <si>
    <t>240</t>
  </si>
  <si>
    <t>J/2 Költségek, ráfordítások passzív időbeli elhatárolása</t>
  </si>
  <si>
    <t>242</t>
  </si>
  <si>
    <t>J) PASSZÍV IDŐBELI ELHATÁROLÁSOK (=J/1+J/2+J/3)</t>
  </si>
  <si>
    <t>243</t>
  </si>
  <si>
    <t>FORRÁSOK ÖSSZESEN (=G+H+I+J)</t>
  </si>
  <si>
    <t>Mérleg</t>
  </si>
  <si>
    <t>B/I Készletek (BI/1+…B/I/5)</t>
  </si>
  <si>
    <t>B/I/1 Vásárolt készletek</t>
  </si>
  <si>
    <t>B) NEMZETI VAGYONBA TARTOZÓ FORGÓESZKÖZÖK (=B/I+B/II)</t>
  </si>
  <si>
    <t>D/I/4c - ebből: költségvetési évben esedékes követelések ellátási díjakra</t>
  </si>
  <si>
    <t>A/I/1 Vagyoni értékű jogok</t>
  </si>
  <si>
    <t>A/I Immateriális javak (=A/I/1+A/I/2+A/I/3)</t>
  </si>
  <si>
    <t>Konszolidált mérleg</t>
  </si>
  <si>
    <t>12. sz.m. melléklet</t>
  </si>
  <si>
    <t>14. számú melléklet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</si>
</sst>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General\ &quot; fő&quot;"/>
    <numFmt numFmtId="167" formatCode="#,###"/>
    <numFmt numFmtId="168" formatCode="#,##0_ ;\-#,##0\ "/>
    <numFmt numFmtId="169" formatCode="#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0.000"/>
    <numFmt numFmtId="174" formatCode="0.0000"/>
  </numFmts>
  <fonts count="124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0"/>
      <name val="Arial"/>
      <family val="2"/>
    </font>
    <font>
      <sz val="13"/>
      <name val="Algerian"/>
      <family val="5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sz val="12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u val="single"/>
      <sz val="10"/>
      <name val="MS Sans Serif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u val="single"/>
      <sz val="7.5"/>
      <color indexed="36"/>
      <name val="MS Sans Serif"/>
      <family val="2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4"/>
      <name val="Algerian"/>
      <family val="5"/>
    </font>
    <font>
      <sz val="10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 CE"/>
      <family val="0"/>
    </font>
    <font>
      <sz val="8"/>
      <name val="MS Sans Serif"/>
      <family val="2"/>
    </font>
    <font>
      <sz val="12"/>
      <name val="Algerian"/>
      <family val="5"/>
    </font>
    <font>
      <b/>
      <sz val="13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medium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2" borderId="0" applyNumberFormat="0" applyBorder="0" applyAlignment="0" applyProtection="0"/>
    <xf numFmtId="0" fontId="107" fillId="3" borderId="0" applyNumberFormat="0" applyBorder="0" applyAlignment="0" applyProtection="0"/>
    <xf numFmtId="0" fontId="107" fillId="4" borderId="0" applyNumberFormat="0" applyBorder="0" applyAlignment="0" applyProtection="0"/>
    <xf numFmtId="0" fontId="107" fillId="5" borderId="0" applyNumberFormat="0" applyBorder="0" applyAlignment="0" applyProtection="0"/>
    <xf numFmtId="0" fontId="107" fillId="6" borderId="0" applyNumberFormat="0" applyBorder="0" applyAlignment="0" applyProtection="0"/>
    <xf numFmtId="0" fontId="107" fillId="7" borderId="0" applyNumberFormat="0" applyBorder="0" applyAlignment="0" applyProtection="0"/>
    <xf numFmtId="0" fontId="107" fillId="8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9" fillId="20" borderId="1" applyNumberFormat="0" applyAlignment="0" applyProtection="0"/>
    <xf numFmtId="0" fontId="110" fillId="0" borderId="0" applyNumberFormat="0" applyFill="0" applyBorder="0" applyAlignment="0" applyProtection="0"/>
    <xf numFmtId="0" fontId="111" fillId="0" borderId="2" applyNumberFormat="0" applyFill="0" applyAlignment="0" applyProtection="0"/>
    <xf numFmtId="0" fontId="112" fillId="0" borderId="3" applyNumberFormat="0" applyFill="0" applyAlignment="0" applyProtection="0"/>
    <xf numFmtId="0" fontId="113" fillId="0" borderId="4" applyNumberFormat="0" applyFill="0" applyAlignment="0" applyProtection="0"/>
    <xf numFmtId="0" fontId="113" fillId="0" borderId="0" applyNumberFormat="0" applyFill="0" applyBorder="0" applyAlignment="0" applyProtection="0"/>
    <xf numFmtId="0" fontId="11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6" fillId="0" borderId="6" applyNumberFormat="0" applyFill="0" applyAlignment="0" applyProtection="0"/>
    <xf numFmtId="0" fontId="0" fillId="22" borderId="7" applyNumberFormat="0" applyFont="0" applyAlignment="0" applyProtection="0"/>
    <xf numFmtId="0" fontId="108" fillId="23" borderId="0" applyNumberFormat="0" applyBorder="0" applyAlignment="0" applyProtection="0"/>
    <xf numFmtId="0" fontId="108" fillId="24" borderId="0" applyNumberFormat="0" applyBorder="0" applyAlignment="0" applyProtection="0"/>
    <xf numFmtId="0" fontId="108" fillId="25" borderId="0" applyNumberFormat="0" applyBorder="0" applyAlignment="0" applyProtection="0"/>
    <xf numFmtId="0" fontId="108" fillId="26" borderId="0" applyNumberFormat="0" applyBorder="0" applyAlignment="0" applyProtection="0"/>
    <xf numFmtId="0" fontId="108" fillId="27" borderId="0" applyNumberFormat="0" applyBorder="0" applyAlignment="0" applyProtection="0"/>
    <xf numFmtId="0" fontId="108" fillId="28" borderId="0" applyNumberFormat="0" applyBorder="0" applyAlignment="0" applyProtection="0"/>
    <xf numFmtId="0" fontId="117" fillId="29" borderId="0" applyNumberFormat="0" applyBorder="0" applyAlignment="0" applyProtection="0"/>
    <xf numFmtId="0" fontId="118" fillId="30" borderId="8" applyNumberFormat="0" applyAlignment="0" applyProtection="0"/>
    <xf numFmtId="0" fontId="7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1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1" fillId="31" borderId="0" applyNumberFormat="0" applyBorder="0" applyAlignment="0" applyProtection="0"/>
    <xf numFmtId="0" fontId="122" fillId="32" borderId="0" applyNumberFormat="0" applyBorder="0" applyAlignment="0" applyProtection="0"/>
    <xf numFmtId="0" fontId="123" fillId="30" borderId="1" applyNumberFormat="0" applyAlignment="0" applyProtection="0"/>
    <xf numFmtId="9" fontId="0" fillId="0" borderId="0" applyFont="0" applyFill="0" applyBorder="0" applyAlignment="0" applyProtection="0"/>
  </cellStyleXfs>
  <cellXfs count="138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11" fillId="0" borderId="0" xfId="58">
      <alignment/>
      <protection/>
    </xf>
    <xf numFmtId="0" fontId="12" fillId="0" borderId="0" xfId="58" applyFont="1" applyBorder="1" applyAlignment="1">
      <alignment horizontal="center"/>
      <protection/>
    </xf>
    <xf numFmtId="0" fontId="11" fillId="0" borderId="10" xfId="58" applyBorder="1">
      <alignment/>
      <protection/>
    </xf>
    <xf numFmtId="0" fontId="17" fillId="0" borderId="0" xfId="58" applyFont="1" applyAlignment="1">
      <alignment horizontal="center"/>
      <protection/>
    </xf>
    <xf numFmtId="0" fontId="11" fillId="0" borderId="0" xfId="58" applyAlignment="1">
      <alignment vertical="center"/>
      <protection/>
    </xf>
    <xf numFmtId="0" fontId="15" fillId="0" borderId="0" xfId="58" applyFont="1">
      <alignment/>
      <protection/>
    </xf>
    <xf numFmtId="0" fontId="13" fillId="0" borderId="0" xfId="58" applyFont="1">
      <alignment/>
      <protection/>
    </xf>
    <xf numFmtId="0" fontId="11" fillId="0" borderId="0" xfId="58" applyFont="1">
      <alignment/>
      <protection/>
    </xf>
    <xf numFmtId="0" fontId="18" fillId="0" borderId="0" xfId="58" applyFont="1" applyBorder="1" applyAlignment="1">
      <alignment horizontal="center"/>
      <protection/>
    </xf>
    <xf numFmtId="0" fontId="11" fillId="0" borderId="0" xfId="58" applyAlignment="1">
      <alignment wrapText="1"/>
      <protection/>
    </xf>
    <xf numFmtId="0" fontId="11" fillId="0" borderId="0" xfId="58" applyFont="1" applyFill="1">
      <alignment/>
      <protection/>
    </xf>
    <xf numFmtId="0" fontId="0" fillId="0" borderId="0" xfId="0" applyFont="1" applyAlignment="1">
      <alignment wrapText="1"/>
    </xf>
    <xf numFmtId="0" fontId="6" fillId="1" borderId="11" xfId="58" applyFont="1" applyFill="1" applyBorder="1" applyAlignment="1">
      <alignment horizontal="center" vertical="center"/>
      <protection/>
    </xf>
    <xf numFmtId="0" fontId="34" fillId="0" borderId="0" xfId="59" applyFont="1" applyAlignment="1">
      <alignment horizontal="center" vertical="center"/>
      <protection/>
    </xf>
    <xf numFmtId="0" fontId="27" fillId="0" borderId="12" xfId="59" applyFont="1" applyBorder="1" applyAlignment="1">
      <alignment horizontal="left" vertical="center" wrapText="1"/>
      <protection/>
    </xf>
    <xf numFmtId="0" fontId="17" fillId="0" borderId="0" xfId="58" applyFont="1" applyBorder="1" applyAlignment="1">
      <alignment horizontal="center"/>
      <protection/>
    </xf>
    <xf numFmtId="0" fontId="16" fillId="33" borderId="13" xfId="58" applyFont="1" applyFill="1" applyBorder="1" applyAlignment="1">
      <alignment horizontal="center" vertical="center"/>
      <protection/>
    </xf>
    <xf numFmtId="0" fontId="16" fillId="33" borderId="14" xfId="58" applyFont="1" applyFill="1" applyBorder="1" applyAlignment="1">
      <alignment horizontal="center" vertical="center"/>
      <protection/>
    </xf>
    <xf numFmtId="0" fontId="37" fillId="0" borderId="15" xfId="59" applyFont="1" applyBorder="1" applyAlignment="1">
      <alignment horizontal="center" vertical="center" wrapText="1"/>
      <protection/>
    </xf>
    <xf numFmtId="0" fontId="37" fillId="0" borderId="16" xfId="59" applyFont="1" applyBorder="1" applyAlignment="1">
      <alignment horizontal="center" vertical="center" wrapText="1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3" fontId="11" fillId="0" borderId="0" xfId="58" applyNumberFormat="1" applyAlignment="1">
      <alignment vertical="center"/>
      <protection/>
    </xf>
    <xf numFmtId="0" fontId="11" fillId="0" borderId="0" xfId="58" applyFont="1" applyAlignment="1">
      <alignment vertical="center"/>
      <protection/>
    </xf>
    <xf numFmtId="0" fontId="18" fillId="0" borderId="0" xfId="58" applyFont="1" applyBorder="1" applyAlignment="1">
      <alignment horizontal="center" wrapText="1"/>
      <protection/>
    </xf>
    <xf numFmtId="0" fontId="12" fillId="0" borderId="0" xfId="58" applyFont="1" applyBorder="1" applyAlignment="1">
      <alignment horizontal="center" wrapText="1"/>
      <protection/>
    </xf>
    <xf numFmtId="0" fontId="6" fillId="1" borderId="14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left" vertical="center" wrapText="1"/>
      <protection/>
    </xf>
    <xf numFmtId="0" fontId="6" fillId="0" borderId="14" xfId="58" applyFont="1" applyBorder="1" applyAlignment="1">
      <alignment vertical="center" wrapText="1"/>
      <protection/>
    </xf>
    <xf numFmtId="0" fontId="13" fillId="0" borderId="0" xfId="58" applyFont="1" applyAlignment="1">
      <alignment vertical="center"/>
      <protection/>
    </xf>
    <xf numFmtId="0" fontId="0" fillId="0" borderId="19" xfId="58" applyFont="1" applyBorder="1" applyAlignment="1">
      <alignment horizontal="center" vertical="center"/>
      <protection/>
    </xf>
    <xf numFmtId="0" fontId="2" fillId="0" borderId="20" xfId="58" applyFont="1" applyFill="1" applyBorder="1" applyAlignment="1">
      <alignment vertical="center" wrapText="1"/>
      <protection/>
    </xf>
    <xf numFmtId="0" fontId="0" fillId="0" borderId="21" xfId="58" applyFont="1" applyBorder="1" applyAlignment="1">
      <alignment horizontal="center" vertical="center"/>
      <protection/>
    </xf>
    <xf numFmtId="0" fontId="20" fillId="0" borderId="0" xfId="59" applyFont="1" applyAlignment="1">
      <alignment horizontal="left" vertical="center" wrapText="1"/>
      <protection/>
    </xf>
    <xf numFmtId="3" fontId="5" fillId="0" borderId="0" xfId="0" applyNumberFormat="1" applyFont="1" applyFill="1" applyAlignment="1">
      <alignment horizontal="right" vertical="center"/>
    </xf>
    <xf numFmtId="0" fontId="11" fillId="0" borderId="0" xfId="58" applyAlignment="1">
      <alignment horizontal="left" wrapText="1"/>
      <protection/>
    </xf>
    <xf numFmtId="0" fontId="11" fillId="0" borderId="0" xfId="58" applyBorder="1" applyAlignment="1">
      <alignment horizontal="left" wrapText="1"/>
      <protection/>
    </xf>
    <xf numFmtId="0" fontId="0" fillId="0" borderId="20" xfId="58" applyFont="1" applyBorder="1" applyAlignment="1">
      <alignment horizontal="left" vertical="center" wrapText="1"/>
      <protection/>
    </xf>
    <xf numFmtId="0" fontId="15" fillId="0" borderId="0" xfId="58" applyFont="1" applyAlignment="1">
      <alignment wrapText="1"/>
      <protection/>
    </xf>
    <xf numFmtId="0" fontId="15" fillId="0" borderId="12" xfId="58" applyFont="1" applyBorder="1" applyAlignment="1">
      <alignment wrapText="1"/>
      <protection/>
    </xf>
    <xf numFmtId="0" fontId="15" fillId="0" borderId="12" xfId="58" applyFont="1" applyFill="1" applyBorder="1" applyAlignment="1">
      <alignment wrapText="1"/>
      <protection/>
    </xf>
    <xf numFmtId="0" fontId="12" fillId="0" borderId="22" xfId="58" applyFont="1" applyBorder="1" applyAlignment="1">
      <alignment vertical="center" wrapText="1"/>
      <protection/>
    </xf>
    <xf numFmtId="0" fontId="12" fillId="0" borderId="22" xfId="58" applyFont="1" applyBorder="1" applyAlignment="1">
      <alignment wrapText="1"/>
      <protection/>
    </xf>
    <xf numFmtId="3" fontId="43" fillId="0" borderId="23" xfId="58" applyNumberFormat="1" applyFont="1" applyFill="1" applyBorder="1" applyAlignment="1">
      <alignment horizontal="right"/>
      <protection/>
    </xf>
    <xf numFmtId="0" fontId="43" fillId="0" borderId="23" xfId="58" applyFont="1" applyBorder="1" applyAlignment="1">
      <alignment horizontal="right"/>
      <protection/>
    </xf>
    <xf numFmtId="3" fontId="43" fillId="0" borderId="24" xfId="58" applyNumberFormat="1" applyFont="1" applyBorder="1" applyAlignment="1">
      <alignment horizontal="right"/>
      <protection/>
    </xf>
    <xf numFmtId="3" fontId="43" fillId="0" borderId="23" xfId="58" applyNumberFormat="1" applyFont="1" applyBorder="1" applyAlignment="1">
      <alignment horizontal="right"/>
      <protection/>
    </xf>
    <xf numFmtId="3" fontId="18" fillId="0" borderId="15" xfId="40" applyNumberFormat="1" applyFont="1" applyBorder="1" applyAlignment="1">
      <alignment horizontal="right" vertical="center"/>
    </xf>
    <xf numFmtId="3" fontId="18" fillId="0" borderId="15" xfId="58" applyNumberFormat="1" applyFont="1" applyBorder="1" applyAlignment="1">
      <alignment horizontal="right"/>
      <protection/>
    </xf>
    <xf numFmtId="3" fontId="5" fillId="0" borderId="0" xfId="0" applyNumberFormat="1" applyFont="1" applyFill="1" applyAlignment="1">
      <alignment horizontal="right"/>
    </xf>
    <xf numFmtId="0" fontId="11" fillId="0" borderId="25" xfId="58" applyFont="1" applyBorder="1" applyAlignment="1">
      <alignment horizontal="center" vertical="center"/>
      <protection/>
    </xf>
    <xf numFmtId="0" fontId="11" fillId="0" borderId="12" xfId="58" applyFont="1" applyBorder="1" applyAlignment="1">
      <alignment horizontal="center" vertical="center"/>
      <protection/>
    </xf>
    <xf numFmtId="0" fontId="12" fillId="0" borderId="0" xfId="58" applyFont="1" applyBorder="1" applyAlignment="1">
      <alignment horizontal="center" vertical="center"/>
      <protection/>
    </xf>
    <xf numFmtId="0" fontId="16" fillId="0" borderId="0" xfId="58" applyFont="1" applyBorder="1" applyAlignment="1">
      <alignment horizontal="center" vertical="center"/>
      <protection/>
    </xf>
    <xf numFmtId="3" fontId="12" fillId="0" borderId="0" xfId="58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23" xfId="58" applyFont="1" applyFill="1" applyBorder="1" applyAlignment="1">
      <alignment horizontal="left" vertical="center" wrapText="1"/>
      <protection/>
    </xf>
    <xf numFmtId="0" fontId="0" fillId="0" borderId="12" xfId="58" applyFont="1" applyFill="1" applyBorder="1" applyAlignment="1">
      <alignment horizontal="center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58" applyFont="1" applyBorder="1" applyAlignment="1">
      <alignment horizontal="right" vertical="center"/>
      <protection/>
    </xf>
    <xf numFmtId="0" fontId="23" fillId="0" borderId="0" xfId="58" applyFont="1" applyAlignment="1">
      <alignment horizontal="center" vertical="center"/>
      <protection/>
    </xf>
    <xf numFmtId="0" fontId="11" fillId="0" borderId="10" xfId="58" applyFont="1" applyBorder="1" applyAlignment="1">
      <alignment vertical="center"/>
      <protection/>
    </xf>
    <xf numFmtId="3" fontId="12" fillId="0" borderId="0" xfId="58" applyNumberFormat="1" applyFont="1" applyBorder="1" applyAlignment="1">
      <alignment horizontal="center" vertical="center"/>
      <protection/>
    </xf>
    <xf numFmtId="0" fontId="13" fillId="0" borderId="0" xfId="58" applyFont="1" applyAlignment="1">
      <alignment vertical="center"/>
      <protection/>
    </xf>
    <xf numFmtId="3" fontId="15" fillId="0" borderId="23" xfId="0" applyNumberFormat="1" applyFont="1" applyFill="1" applyBorder="1" applyAlignment="1">
      <alignment horizontal="right" vertical="center"/>
    </xf>
    <xf numFmtId="3" fontId="15" fillId="0" borderId="23" xfId="58" applyNumberFormat="1" applyFont="1" applyFill="1" applyBorder="1" applyAlignment="1">
      <alignment horizontal="right" vertical="center"/>
      <protection/>
    </xf>
    <xf numFmtId="0" fontId="11" fillId="0" borderId="0" xfId="58" applyFont="1" applyAlignment="1">
      <alignment horizontal="center" vertical="center"/>
      <protection/>
    </xf>
    <xf numFmtId="0" fontId="11" fillId="0" borderId="17" xfId="58" applyFont="1" applyBorder="1" applyAlignment="1">
      <alignment horizontal="center" vertical="center"/>
      <protection/>
    </xf>
    <xf numFmtId="3" fontId="11" fillId="0" borderId="0" xfId="58" applyNumberFormat="1" applyFont="1" applyAlignment="1">
      <alignment vertical="center"/>
      <protection/>
    </xf>
    <xf numFmtId="3" fontId="3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3" fillId="0" borderId="24" xfId="58" applyNumberFormat="1" applyFont="1" applyFill="1" applyBorder="1" applyAlignment="1">
      <alignment horizontal="right"/>
      <protection/>
    </xf>
    <xf numFmtId="3" fontId="43" fillId="0" borderId="26" xfId="58" applyNumberFormat="1" applyFont="1" applyBorder="1" applyAlignment="1">
      <alignment horizontal="right"/>
      <protection/>
    </xf>
    <xf numFmtId="0" fontId="15" fillId="0" borderId="27" xfId="58" applyFont="1" applyBorder="1" applyAlignment="1">
      <alignment wrapText="1"/>
      <protection/>
    </xf>
    <xf numFmtId="0" fontId="14" fillId="0" borderId="23" xfId="0" applyFont="1" applyFill="1" applyBorder="1" applyAlignment="1">
      <alignment vertical="center" wrapText="1"/>
    </xf>
    <xf numFmtId="0" fontId="33" fillId="0" borderId="23" xfId="0" applyFont="1" applyFill="1" applyBorder="1" applyAlignment="1">
      <alignment vertical="center"/>
    </xf>
    <xf numFmtId="0" fontId="33" fillId="0" borderId="23" xfId="58" applyFont="1" applyFill="1" applyBorder="1" applyAlignment="1">
      <alignment vertical="center"/>
      <protection/>
    </xf>
    <xf numFmtId="0" fontId="33" fillId="0" borderId="28" xfId="58" applyFont="1" applyFill="1" applyBorder="1" applyAlignment="1">
      <alignment vertical="center"/>
      <protection/>
    </xf>
    <xf numFmtId="0" fontId="14" fillId="0" borderId="18" xfId="0" applyFont="1" applyFill="1" applyBorder="1" applyAlignment="1">
      <alignment vertical="center"/>
    </xf>
    <xf numFmtId="0" fontId="14" fillId="0" borderId="29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7" fillId="0" borderId="21" xfId="0" applyNumberFormat="1" applyFont="1" applyBorder="1" applyAlignment="1">
      <alignment horizontal="left" vertical="center"/>
    </xf>
    <xf numFmtId="49" fontId="49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50" fillId="0" borderId="0" xfId="0" applyFont="1" applyAlignment="1">
      <alignment wrapText="1"/>
    </xf>
    <xf numFmtId="49" fontId="7" fillId="0" borderId="21" xfId="0" applyNumberFormat="1" applyFont="1" applyBorder="1" applyAlignment="1">
      <alignment horizontal="left" vertical="center" wrapText="1"/>
    </xf>
    <xf numFmtId="49" fontId="7" fillId="0" borderId="31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Border="1" applyAlignment="1">
      <alignment horizontal="left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7" fillId="0" borderId="32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0" fillId="0" borderId="33" xfId="0" applyNumberFormat="1" applyFont="1" applyBorder="1" applyAlignment="1">
      <alignment horizontal="left"/>
    </xf>
    <xf numFmtId="49" fontId="7" fillId="0" borderId="34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7" fillId="0" borderId="32" xfId="0" applyNumberFormat="1" applyFont="1" applyBorder="1" applyAlignment="1">
      <alignment horizontal="left" vertical="center"/>
    </xf>
    <xf numFmtId="0" fontId="6" fillId="0" borderId="19" xfId="0" applyFont="1" applyBorder="1" applyAlignment="1">
      <alignment/>
    </xf>
    <xf numFmtId="3" fontId="3" fillId="0" borderId="14" xfId="0" applyNumberFormat="1" applyFont="1" applyFill="1" applyBorder="1" applyAlignment="1">
      <alignment horizontal="right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21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/>
    </xf>
    <xf numFmtId="0" fontId="7" fillId="0" borderId="31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33" xfId="0" applyNumberFormat="1" applyFont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3" fontId="7" fillId="0" borderId="26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3" fontId="26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9" fillId="0" borderId="36" xfId="59" applyFont="1" applyBorder="1" applyAlignment="1">
      <alignment horizontal="left" vertical="center" wrapText="1"/>
      <protection/>
    </xf>
    <xf numFmtId="0" fontId="27" fillId="0" borderId="37" xfId="0" applyFont="1" applyBorder="1" applyAlignment="1">
      <alignment vertical="center" wrapText="1"/>
    </xf>
    <xf numFmtId="2" fontId="38" fillId="0" borderId="23" xfId="59" applyNumberFormat="1" applyFont="1" applyFill="1" applyBorder="1" applyAlignment="1">
      <alignment horizontal="center" vertical="center" wrapText="1"/>
      <protection/>
    </xf>
    <xf numFmtId="2" fontId="38" fillId="0" borderId="20" xfId="59" applyNumberFormat="1" applyFont="1" applyFill="1" applyBorder="1" applyAlignment="1">
      <alignment horizontal="center" vertical="center" wrapText="1"/>
      <protection/>
    </xf>
    <xf numFmtId="2" fontId="38" fillId="0" borderId="15" xfId="59" applyNumberFormat="1" applyFont="1" applyFill="1" applyBorder="1" applyAlignment="1">
      <alignment horizontal="center" vertical="center" wrapText="1"/>
      <protection/>
    </xf>
    <xf numFmtId="167" fontId="31" fillId="0" borderId="0" xfId="0" applyNumberFormat="1" applyFont="1" applyFill="1" applyAlignment="1" applyProtection="1">
      <alignment horizontal="left" vertical="center" wrapText="1"/>
      <protection/>
    </xf>
    <xf numFmtId="167" fontId="31" fillId="0" borderId="0" xfId="0" applyNumberFormat="1" applyFont="1" applyFill="1" applyAlignment="1" applyProtection="1">
      <alignment vertical="center" wrapText="1"/>
      <protection/>
    </xf>
    <xf numFmtId="167" fontId="51" fillId="0" borderId="0" xfId="0" applyNumberFormat="1" applyFont="1" applyFill="1" applyAlignment="1" applyProtection="1">
      <alignment vertical="center" wrapText="1"/>
      <protection locked="0"/>
    </xf>
    <xf numFmtId="0" fontId="52" fillId="0" borderId="0" xfId="0" applyFont="1" applyAlignment="1" applyProtection="1">
      <alignment horizontal="right" vertical="top"/>
      <protection locked="0"/>
    </xf>
    <xf numFmtId="167" fontId="31" fillId="0" borderId="0" xfId="0" applyNumberFormat="1" applyFont="1" applyFill="1" applyAlignment="1">
      <alignment vertical="center" wrapText="1"/>
    </xf>
    <xf numFmtId="0" fontId="53" fillId="0" borderId="0" xfId="0" applyFont="1" applyAlignment="1" applyProtection="1">
      <alignment horizontal="right" vertical="top"/>
      <protection locked="0"/>
    </xf>
    <xf numFmtId="167" fontId="54" fillId="0" borderId="0" xfId="0" applyNumberFormat="1" applyFont="1" applyFill="1" applyAlignment="1" applyProtection="1">
      <alignment vertical="center" wrapText="1"/>
      <protection locked="0"/>
    </xf>
    <xf numFmtId="0" fontId="48" fillId="0" borderId="0" xfId="0" applyFont="1" applyFill="1" applyAlignment="1">
      <alignment vertical="center"/>
    </xf>
    <xf numFmtId="0" fontId="51" fillId="0" borderId="0" xfId="0" applyFont="1" applyFill="1" applyAlignment="1" applyProtection="1">
      <alignment vertical="center"/>
      <protection/>
    </xf>
    <xf numFmtId="0" fontId="32" fillId="0" borderId="0" xfId="0" applyFont="1" applyFill="1" applyAlignment="1" applyProtection="1">
      <alignment horizontal="right"/>
      <protection/>
    </xf>
    <xf numFmtId="0" fontId="29" fillId="0" borderId="0" xfId="0" applyFont="1" applyFill="1" applyAlignment="1">
      <alignment vertical="center"/>
    </xf>
    <xf numFmtId="0" fontId="51" fillId="0" borderId="3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55" fillId="0" borderId="13" xfId="0" applyFont="1" applyFill="1" applyBorder="1" applyAlignment="1" applyProtection="1">
      <alignment horizontal="center" vertical="center" wrapText="1"/>
      <protection/>
    </xf>
    <xf numFmtId="0" fontId="55" fillId="0" borderId="14" xfId="0" applyFont="1" applyFill="1" applyBorder="1" applyAlignment="1" applyProtection="1">
      <alignment horizontal="center" vertical="center" wrapText="1"/>
      <protection/>
    </xf>
    <xf numFmtId="0" fontId="55" fillId="0" borderId="39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 wrapText="1"/>
    </xf>
    <xf numFmtId="0" fontId="51" fillId="0" borderId="33" xfId="0" applyFont="1" applyFill="1" applyBorder="1" applyAlignment="1" applyProtection="1">
      <alignment horizontal="center" vertical="center" wrapText="1"/>
      <protection/>
    </xf>
    <xf numFmtId="0" fontId="51" fillId="0" borderId="34" xfId="0" applyFont="1" applyFill="1" applyBorder="1" applyAlignment="1" applyProtection="1">
      <alignment horizontal="center" vertical="center" wrapText="1"/>
      <protection/>
    </xf>
    <xf numFmtId="0" fontId="46" fillId="0" borderId="14" xfId="0" applyFont="1" applyFill="1" applyBorder="1" applyAlignment="1" applyProtection="1">
      <alignment horizontal="center" vertical="center" wrapText="1"/>
      <protection/>
    </xf>
    <xf numFmtId="0" fontId="55" fillId="0" borderId="14" xfId="0" applyFont="1" applyFill="1" applyBorder="1" applyAlignment="1" applyProtection="1">
      <alignment horizontal="left" vertical="center" wrapText="1" indent="1"/>
      <protection/>
    </xf>
    <xf numFmtId="167" fontId="55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45" fillId="0" borderId="0" xfId="0" applyFont="1" applyFill="1" applyAlignment="1">
      <alignment vertical="center" wrapText="1"/>
    </xf>
    <xf numFmtId="0" fontId="55" fillId="0" borderId="17" xfId="0" applyFont="1" applyFill="1" applyBorder="1" applyAlignment="1" applyProtection="1">
      <alignment horizontal="center" vertical="center" wrapText="1"/>
      <protection/>
    </xf>
    <xf numFmtId="49" fontId="47" fillId="0" borderId="23" xfId="0" applyNumberFormat="1" applyFont="1" applyFill="1" applyBorder="1" applyAlignment="1" applyProtection="1">
      <alignment horizontal="center" vertical="center" wrapText="1"/>
      <protection/>
    </xf>
    <xf numFmtId="0" fontId="55" fillId="0" borderId="12" xfId="0" applyFont="1" applyFill="1" applyBorder="1" applyAlignment="1" applyProtection="1">
      <alignment horizontal="center" vertical="center" wrapText="1"/>
      <protection/>
    </xf>
    <xf numFmtId="0" fontId="47" fillId="0" borderId="23" xfId="61" applyFont="1" applyFill="1" applyBorder="1" applyAlignment="1" applyProtection="1">
      <alignment horizontal="left" vertical="center" wrapText="1" indent="1"/>
      <protection/>
    </xf>
    <xf numFmtId="167" fontId="4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Fill="1" applyAlignment="1">
      <alignment vertical="center" wrapText="1"/>
    </xf>
    <xf numFmtId="0" fontId="55" fillId="0" borderId="40" xfId="0" applyFont="1" applyFill="1" applyBorder="1" applyAlignment="1" applyProtection="1">
      <alignment horizontal="center" vertical="center" wrapText="1"/>
      <protection/>
    </xf>
    <xf numFmtId="49" fontId="55" fillId="0" borderId="28" xfId="0" applyNumberFormat="1" applyFont="1" applyFill="1" applyBorder="1" applyAlignment="1" applyProtection="1">
      <alignment horizontal="center" vertical="center" wrapText="1"/>
      <protection/>
    </xf>
    <xf numFmtId="0" fontId="55" fillId="0" borderId="28" xfId="61" applyFont="1" applyFill="1" applyBorder="1" applyAlignment="1" applyProtection="1">
      <alignment horizontal="left" vertical="center" wrapText="1" indent="1"/>
      <protection/>
    </xf>
    <xf numFmtId="0" fontId="47" fillId="0" borderId="20" xfId="61" applyFont="1" applyFill="1" applyBorder="1" applyAlignment="1" applyProtection="1">
      <alignment horizontal="left" vertical="center" wrapText="1" indent="1"/>
      <protection/>
    </xf>
    <xf numFmtId="0" fontId="55" fillId="0" borderId="13" xfId="0" applyFont="1" applyFill="1" applyBorder="1" applyAlignment="1" applyProtection="1">
      <alignment horizontal="center" vertical="center" wrapText="1"/>
      <protection/>
    </xf>
    <xf numFmtId="0" fontId="55" fillId="0" borderId="14" xfId="61" applyFont="1" applyFill="1" applyBorder="1" applyAlignment="1" applyProtection="1">
      <alignment horizontal="left" vertical="center" wrapText="1" indent="1"/>
      <protection/>
    </xf>
    <xf numFmtId="0" fontId="55" fillId="0" borderId="17" xfId="0" applyFont="1" applyFill="1" applyBorder="1" applyAlignment="1" applyProtection="1">
      <alignment horizontal="center" vertical="center" wrapText="1"/>
      <protection/>
    </xf>
    <xf numFmtId="49" fontId="47" fillId="0" borderId="18" xfId="0" applyNumberFormat="1" applyFont="1" applyFill="1" applyBorder="1" applyAlignment="1" applyProtection="1">
      <alignment horizontal="center" vertical="center" wrapText="1"/>
      <protection/>
    </xf>
    <xf numFmtId="0" fontId="47" fillId="0" borderId="18" xfId="61" applyFont="1" applyFill="1" applyBorder="1" applyAlignment="1" applyProtection="1">
      <alignment horizontal="left" vertical="center" wrapText="1" indent="1"/>
      <protection/>
    </xf>
    <xf numFmtId="167" fontId="4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55" fillId="0" borderId="36" xfId="0" applyFont="1" applyFill="1" applyBorder="1" applyAlignment="1" applyProtection="1">
      <alignment horizontal="center" vertical="center" wrapText="1"/>
      <protection/>
    </xf>
    <xf numFmtId="49" fontId="47" fillId="0" borderId="20" xfId="0" applyNumberFormat="1" applyFont="1" applyFill="1" applyBorder="1" applyAlignment="1" applyProtection="1">
      <alignment horizontal="center" vertical="center" wrapText="1"/>
      <protection/>
    </xf>
    <xf numFmtId="0" fontId="47" fillId="0" borderId="42" xfId="61" applyFont="1" applyFill="1" applyBorder="1" applyAlignment="1" applyProtection="1">
      <alignment horizontal="left" vertical="center" wrapText="1" indent="1"/>
      <protection/>
    </xf>
    <xf numFmtId="167" fontId="4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14" xfId="61" applyNumberFormat="1" applyFont="1" applyFill="1" applyBorder="1" applyAlignment="1" applyProtection="1">
      <alignment horizontal="left" vertical="center" wrapText="1" indent="1"/>
      <protection/>
    </xf>
    <xf numFmtId="0" fontId="56" fillId="0" borderId="44" xfId="0" applyFont="1" applyBorder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vertical="center" wrapText="1"/>
      <protection/>
    </xf>
    <xf numFmtId="0" fontId="55" fillId="0" borderId="38" xfId="61" applyFont="1" applyFill="1" applyBorder="1" applyAlignment="1" applyProtection="1">
      <alignment horizontal="left" vertical="center" wrapText="1" indent="1"/>
      <protection/>
    </xf>
    <xf numFmtId="49" fontId="47" fillId="0" borderId="18" xfId="61" applyNumberFormat="1" applyFont="1" applyFill="1" applyBorder="1" applyAlignment="1" applyProtection="1">
      <alignment horizontal="left" vertical="center" wrapText="1" indent="1"/>
      <protection/>
    </xf>
    <xf numFmtId="0" fontId="30" fillId="0" borderId="22" xfId="0" applyFont="1" applyFill="1" applyBorder="1" applyAlignment="1" applyProtection="1">
      <alignment vertical="center" wrapText="1"/>
      <protection/>
    </xf>
    <xf numFmtId="49" fontId="47" fillId="0" borderId="15" xfId="61" applyNumberFormat="1" applyFont="1" applyFill="1" applyBorder="1" applyAlignment="1" applyProtection="1">
      <alignment horizontal="left" vertical="center" wrapText="1" indent="1"/>
      <protection/>
    </xf>
    <xf numFmtId="0" fontId="47" fillId="0" borderId="15" xfId="61" applyFont="1" applyFill="1" applyBorder="1" applyAlignment="1" applyProtection="1">
      <alignment horizontal="left" vertical="center" wrapText="1" indent="1"/>
      <protection/>
    </xf>
    <xf numFmtId="167" fontId="4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6" fillId="0" borderId="13" xfId="0" applyFont="1" applyBorder="1" applyAlignment="1" applyProtection="1">
      <alignment horizontal="center" vertical="center" wrapText="1"/>
      <protection/>
    </xf>
    <xf numFmtId="0" fontId="57" fillId="0" borderId="45" xfId="0" applyFont="1" applyBorder="1" applyAlignment="1" applyProtection="1">
      <alignment horizontal="center" wrapText="1"/>
      <protection/>
    </xf>
    <xf numFmtId="0" fontId="55" fillId="0" borderId="45" xfId="61" applyFont="1" applyFill="1" applyBorder="1" applyAlignment="1" applyProtection="1">
      <alignment horizontal="left" vertical="center" wrapText="1" indent="1"/>
      <protection/>
    </xf>
    <xf numFmtId="0" fontId="58" fillId="0" borderId="45" xfId="0" applyFont="1" applyBorder="1" applyAlignment="1" applyProtection="1">
      <alignment horizontal="center" wrapText="1"/>
      <protection/>
    </xf>
    <xf numFmtId="0" fontId="59" fillId="0" borderId="45" xfId="0" applyFont="1" applyBorder="1" applyAlignment="1" applyProtection="1">
      <alignment horizontal="left" wrapText="1" indent="1"/>
      <protection/>
    </xf>
    <xf numFmtId="167" fontId="55" fillId="0" borderId="46" xfId="0" applyNumberFormat="1" applyFont="1" applyFill="1" applyBorder="1" applyAlignment="1" applyProtection="1">
      <alignment horizontal="right" vertical="center" wrapText="1" indent="1"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Border="1" applyAlignment="1" applyProtection="1">
      <alignment horizontal="left" vertical="center" wrapText="1" indent="1"/>
      <protection/>
    </xf>
    <xf numFmtId="167" fontId="5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60" fillId="0" borderId="0" xfId="0" applyFont="1" applyFill="1" applyAlignment="1">
      <alignment vertical="center" wrapText="1"/>
    </xf>
    <xf numFmtId="0" fontId="47" fillId="0" borderId="0" xfId="0" applyFont="1" applyFill="1" applyAlignment="1" applyProtection="1">
      <alignment horizontal="left" vertical="center" wrapText="1"/>
      <protection/>
    </xf>
    <xf numFmtId="0" fontId="47" fillId="0" borderId="0" xfId="0" applyFont="1" applyFill="1" applyAlignment="1" applyProtection="1">
      <alignment vertical="center" wrapText="1"/>
      <protection/>
    </xf>
    <xf numFmtId="0" fontId="47" fillId="0" borderId="0" xfId="0" applyFont="1" applyFill="1" applyAlignment="1" applyProtection="1">
      <alignment horizontal="right" vertical="center" wrapText="1" indent="1"/>
      <protection/>
    </xf>
    <xf numFmtId="0" fontId="55" fillId="0" borderId="11" xfId="0" applyFont="1" applyFill="1" applyBorder="1" applyAlignment="1" applyProtection="1">
      <alignment horizontal="center" vertical="center" wrapText="1"/>
      <protection/>
    </xf>
    <xf numFmtId="0" fontId="55" fillId="0" borderId="35" xfId="0" applyFont="1" applyFill="1" applyBorder="1" applyAlignment="1" applyProtection="1">
      <alignment horizontal="center" vertical="center" wrapText="1"/>
      <protection/>
    </xf>
    <xf numFmtId="0" fontId="51" fillId="0" borderId="35" xfId="0" applyFont="1" applyFill="1" applyBorder="1" applyAlignment="1" applyProtection="1">
      <alignment horizontal="center" vertical="center" wrapText="1"/>
      <protection/>
    </xf>
    <xf numFmtId="0" fontId="55" fillId="0" borderId="14" xfId="61" applyFont="1" applyFill="1" applyBorder="1" applyAlignment="1" applyProtection="1">
      <alignment horizontal="left" vertical="center" wrapText="1" indent="1"/>
      <protection/>
    </xf>
    <xf numFmtId="0" fontId="55" fillId="0" borderId="25" xfId="0" applyFont="1" applyFill="1" applyBorder="1" applyAlignment="1" applyProtection="1">
      <alignment horizontal="center" vertical="center" wrapText="1"/>
      <protection/>
    </xf>
    <xf numFmtId="49" fontId="47" fillId="0" borderId="20" xfId="61" applyNumberFormat="1" applyFont="1" applyFill="1" applyBorder="1" applyAlignment="1" applyProtection="1">
      <alignment horizontal="left" vertical="center" wrapText="1" indent="1"/>
      <protection/>
    </xf>
    <xf numFmtId="0" fontId="55" fillId="0" borderId="12" xfId="0" applyFont="1" applyFill="1" applyBorder="1" applyAlignment="1" applyProtection="1">
      <alignment horizontal="center" vertical="center" wrapText="1"/>
      <protection/>
    </xf>
    <xf numFmtId="49" fontId="47" fillId="0" borderId="23" xfId="61" applyNumberFormat="1" applyFont="1" applyFill="1" applyBorder="1" applyAlignment="1" applyProtection="1">
      <alignment horizontal="left" vertical="center" wrapText="1" indent="1"/>
      <protection/>
    </xf>
    <xf numFmtId="167" fontId="4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47" fillId="0" borderId="14" xfId="0" applyFont="1" applyFill="1" applyBorder="1" applyAlignment="1" applyProtection="1">
      <alignment horizontal="center" vertical="center" wrapText="1"/>
      <protection/>
    </xf>
    <xf numFmtId="167" fontId="55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9" fillId="0" borderId="13" xfId="0" applyFont="1" applyFill="1" applyBorder="1" applyAlignment="1" applyProtection="1">
      <alignment horizontal="left" vertical="center"/>
      <protection/>
    </xf>
    <xf numFmtId="0" fontId="61" fillId="0" borderId="35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167" fontId="55" fillId="0" borderId="35" xfId="0" applyNumberFormat="1" applyFont="1" applyFill="1" applyBorder="1" applyAlignment="1" applyProtection="1">
      <alignment horizontal="right" vertical="center" wrapText="1" indent="1"/>
      <protection/>
    </xf>
    <xf numFmtId="167" fontId="51" fillId="0" borderId="26" xfId="0" applyNumberFormat="1" applyFont="1" applyFill="1" applyBorder="1" applyAlignment="1" applyProtection="1">
      <alignment horizontal="center" vertical="center" wrapText="1"/>
      <protection/>
    </xf>
    <xf numFmtId="167" fontId="55" fillId="0" borderId="14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38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14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7" fontId="0" fillId="0" borderId="0" xfId="0" applyNumberFormat="1" applyFill="1" applyAlignment="1">
      <alignment vertical="center" wrapText="1"/>
    </xf>
    <xf numFmtId="0" fontId="31" fillId="0" borderId="0" xfId="61" applyFill="1">
      <alignment/>
      <protection/>
    </xf>
    <xf numFmtId="3" fontId="47" fillId="0" borderId="0" xfId="61" applyNumberFormat="1" applyFont="1" applyFill="1" applyBorder="1">
      <alignment/>
      <protection/>
    </xf>
    <xf numFmtId="167" fontId="47" fillId="0" borderId="0" xfId="61" applyNumberFormat="1" applyFont="1" applyFill="1" applyBorder="1">
      <alignment/>
      <protection/>
    </xf>
    <xf numFmtId="0" fontId="55" fillId="0" borderId="13" xfId="61" applyFont="1" applyFill="1" applyBorder="1" applyAlignment="1" applyProtection="1">
      <alignment horizontal="left" vertical="center" wrapText="1" indent="1"/>
      <protection/>
    </xf>
    <xf numFmtId="0" fontId="63" fillId="0" borderId="0" xfId="61" applyFont="1" applyFill="1">
      <alignment/>
      <protection/>
    </xf>
    <xf numFmtId="49" fontId="47" fillId="0" borderId="0" xfId="61" applyNumberFormat="1" applyFont="1" applyFill="1" applyBorder="1" applyAlignment="1" applyProtection="1">
      <alignment horizontal="left" vertical="center" wrapText="1" indent="1"/>
      <protection/>
    </xf>
    <xf numFmtId="0" fontId="47" fillId="0" borderId="0" xfId="61" applyFont="1" applyFill="1" applyBorder="1" applyAlignment="1" applyProtection="1">
      <alignment horizontal="left" indent="5"/>
      <protection/>
    </xf>
    <xf numFmtId="3" fontId="47" fillId="0" borderId="0" xfId="61" applyNumberFormat="1" applyFont="1" applyFill="1" applyBorder="1" applyAlignment="1" applyProtection="1">
      <alignment horizontal="right" vertical="center" wrapText="1"/>
      <protection/>
    </xf>
    <xf numFmtId="0" fontId="48" fillId="0" borderId="0" xfId="61" applyFont="1" applyFill="1" applyAlignment="1">
      <alignment horizontal="center" wrapText="1"/>
      <protection/>
    </xf>
    <xf numFmtId="3" fontId="47" fillId="0" borderId="0" xfId="61" applyNumberFormat="1" applyFont="1" applyFill="1">
      <alignment/>
      <protection/>
    </xf>
    <xf numFmtId="0" fontId="47" fillId="0" borderId="0" xfId="61" applyFont="1" applyFill="1">
      <alignment/>
      <protection/>
    </xf>
    <xf numFmtId="49" fontId="21" fillId="0" borderId="0" xfId="0" applyNumberFormat="1" applyFont="1" applyAlignment="1">
      <alignment vertical="center"/>
    </xf>
    <xf numFmtId="0" fontId="42" fillId="0" borderId="0" xfId="0" applyFont="1" applyBorder="1" applyAlignment="1">
      <alignment vertical="center"/>
    </xf>
    <xf numFmtId="49" fontId="7" fillId="0" borderId="47" xfId="0" applyNumberFormat="1" applyFont="1" applyFill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5" fillId="0" borderId="27" xfId="58" applyFont="1" applyFill="1" applyBorder="1" applyAlignment="1">
      <alignment wrapText="1"/>
      <protection/>
    </xf>
    <xf numFmtId="0" fontId="55" fillId="0" borderId="17" xfId="61" applyFont="1" applyFill="1" applyBorder="1" applyAlignment="1" applyProtection="1">
      <alignment horizontal="left" vertical="center" wrapText="1" indent="1"/>
      <protection/>
    </xf>
    <xf numFmtId="49" fontId="55" fillId="0" borderId="12" xfId="61" applyNumberFormat="1" applyFont="1" applyFill="1" applyBorder="1" applyAlignment="1" applyProtection="1">
      <alignment horizontal="left" vertical="center" wrapText="1" indent="1"/>
      <protection/>
    </xf>
    <xf numFmtId="49" fontId="55" fillId="0" borderId="22" xfId="61" applyNumberFormat="1" applyFont="1" applyFill="1" applyBorder="1" applyAlignment="1" applyProtection="1">
      <alignment horizontal="left" vertical="center" wrapText="1" indent="1"/>
      <protection/>
    </xf>
    <xf numFmtId="167" fontId="31" fillId="0" borderId="0" xfId="0" applyNumberFormat="1" applyFont="1" applyFill="1" applyBorder="1" applyAlignment="1" applyProtection="1">
      <alignment horizontal="left" vertical="center" wrapText="1"/>
      <protection/>
    </xf>
    <xf numFmtId="2" fontId="36" fillId="0" borderId="42" xfId="59" applyNumberFormat="1" applyFont="1" applyBorder="1" applyAlignment="1">
      <alignment horizontal="center" vertical="center"/>
      <protection/>
    </xf>
    <xf numFmtId="167" fontId="28" fillId="0" borderId="14" xfId="61" applyNumberFormat="1" applyFont="1" applyFill="1" applyBorder="1" applyAlignment="1" applyProtection="1">
      <alignment horizontal="right" vertical="center" wrapText="1"/>
      <protection/>
    </xf>
    <xf numFmtId="167" fontId="44" fillId="0" borderId="10" xfId="61" applyNumberFormat="1" applyFont="1" applyFill="1" applyBorder="1" applyAlignment="1" applyProtection="1">
      <alignment horizontal="left" vertical="center"/>
      <protection/>
    </xf>
    <xf numFmtId="3" fontId="28" fillId="0" borderId="18" xfId="61" applyNumberFormat="1" applyFont="1" applyFill="1" applyBorder="1" applyAlignment="1" applyProtection="1">
      <alignment horizontal="right" vertical="center" wrapText="1"/>
      <protection/>
    </xf>
    <xf numFmtId="3" fontId="28" fillId="0" borderId="23" xfId="61" applyNumberFormat="1" applyFont="1" applyFill="1" applyBorder="1" applyAlignment="1" applyProtection="1">
      <alignment horizontal="right" vertical="center" wrapText="1"/>
      <protection/>
    </xf>
    <xf numFmtId="3" fontId="28" fillId="0" borderId="15" xfId="61" applyNumberFormat="1" applyFont="1" applyFill="1" applyBorder="1" applyAlignment="1" applyProtection="1">
      <alignment horizontal="right" vertical="center" wrapText="1"/>
      <protection/>
    </xf>
    <xf numFmtId="49" fontId="45" fillId="0" borderId="12" xfId="61" applyNumberFormat="1" applyFont="1" applyFill="1" applyBorder="1" applyAlignment="1" applyProtection="1">
      <alignment horizontal="left" vertical="center" wrapText="1"/>
      <protection/>
    </xf>
    <xf numFmtId="49" fontId="30" fillId="0" borderId="12" xfId="61" applyNumberFormat="1" applyFont="1" applyFill="1" applyBorder="1" applyAlignment="1">
      <alignment horizontal="left"/>
      <protection/>
    </xf>
    <xf numFmtId="49" fontId="30" fillId="0" borderId="12" xfId="61" applyNumberFormat="1" applyFont="1" applyFill="1" applyBorder="1" applyAlignment="1" applyProtection="1">
      <alignment horizontal="left" vertical="center" wrapText="1"/>
      <protection/>
    </xf>
    <xf numFmtId="0" fontId="28" fillId="0" borderId="17" xfId="61" applyFont="1" applyFill="1" applyBorder="1" applyAlignment="1">
      <alignment horizontal="center"/>
      <protection/>
    </xf>
    <xf numFmtId="3" fontId="28" fillId="0" borderId="18" xfId="61" applyNumberFormat="1" applyFont="1" applyFill="1" applyBorder="1">
      <alignment/>
      <protection/>
    </xf>
    <xf numFmtId="3" fontId="30" fillId="0" borderId="23" xfId="61" applyNumberFormat="1" applyFont="1" applyFill="1" applyBorder="1">
      <alignment/>
      <protection/>
    </xf>
    <xf numFmtId="167" fontId="30" fillId="0" borderId="23" xfId="61" applyNumberFormat="1" applyFont="1" applyFill="1" applyBorder="1">
      <alignment/>
      <protection/>
    </xf>
    <xf numFmtId="49" fontId="45" fillId="0" borderId="22" xfId="61" applyNumberFormat="1" applyFont="1" applyFill="1" applyBorder="1" applyAlignment="1">
      <alignment horizontal="left"/>
      <protection/>
    </xf>
    <xf numFmtId="3" fontId="30" fillId="0" borderId="15" xfId="61" applyNumberFormat="1" applyFont="1" applyFill="1" applyBorder="1">
      <alignment/>
      <protection/>
    </xf>
    <xf numFmtId="167" fontId="28" fillId="0" borderId="42" xfId="61" applyNumberFormat="1" applyFont="1" applyFill="1" applyBorder="1" applyAlignment="1" applyProtection="1">
      <alignment horizontal="right" vertical="center" wrapText="1"/>
      <protection/>
    </xf>
    <xf numFmtId="167" fontId="28" fillId="0" borderId="18" xfId="61" applyNumberFormat="1" applyFont="1" applyFill="1" applyBorder="1" applyAlignment="1" applyProtection="1">
      <alignment horizontal="right" vertical="center" wrapText="1"/>
      <protection/>
    </xf>
    <xf numFmtId="167" fontId="28" fillId="0" borderId="23" xfId="61" applyNumberFormat="1" applyFont="1" applyFill="1" applyBorder="1" applyAlignment="1" applyProtection="1">
      <alignment horizontal="right" vertical="center" wrapText="1"/>
      <protection/>
    </xf>
    <xf numFmtId="3" fontId="18" fillId="0" borderId="16" xfId="58" applyNumberFormat="1" applyFont="1" applyBorder="1" applyAlignment="1">
      <alignment horizontal="right"/>
      <protection/>
    </xf>
    <xf numFmtId="0" fontId="7" fillId="0" borderId="4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7" fontId="5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7" fontId="51" fillId="0" borderId="38" xfId="0" applyNumberFormat="1" applyFont="1" applyFill="1" applyBorder="1" applyAlignment="1" applyProtection="1">
      <alignment horizontal="center" vertical="center" wrapText="1"/>
      <protection/>
    </xf>
    <xf numFmtId="167" fontId="51" fillId="0" borderId="49" xfId="0" applyNumberFormat="1" applyFont="1" applyFill="1" applyBorder="1" applyAlignment="1" applyProtection="1">
      <alignment horizontal="center" vertical="center" wrapText="1"/>
      <protection/>
    </xf>
    <xf numFmtId="167" fontId="55" fillId="0" borderId="45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50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45" xfId="0" applyNumberFormat="1" applyFont="1" applyFill="1" applyBorder="1" applyAlignment="1" applyProtection="1">
      <alignment horizontal="right" vertical="center" wrapText="1" indent="1"/>
      <protection/>
    </xf>
    <xf numFmtId="167" fontId="51" fillId="0" borderId="30" xfId="0" applyNumberFormat="1" applyFont="1" applyFill="1" applyBorder="1" applyAlignment="1" applyProtection="1">
      <alignment horizontal="center" vertical="center" wrapText="1"/>
      <protection/>
    </xf>
    <xf numFmtId="167" fontId="51" fillId="0" borderId="52" xfId="0" applyNumberFormat="1" applyFont="1" applyFill="1" applyBorder="1" applyAlignment="1" applyProtection="1">
      <alignment horizontal="center" vertical="center" wrapText="1"/>
      <protection/>
    </xf>
    <xf numFmtId="167" fontId="5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4" xfId="0" applyNumberFormat="1" applyFont="1" applyFill="1" applyBorder="1" applyAlignment="1">
      <alignment horizontal="right" vertical="center" wrapText="1"/>
    </xf>
    <xf numFmtId="3" fontId="7" fillId="33" borderId="20" xfId="0" applyNumberFormat="1" applyFont="1" applyFill="1" applyBorder="1" applyAlignment="1">
      <alignment horizontal="right" vertical="center" wrapText="1"/>
    </xf>
    <xf numFmtId="3" fontId="7" fillId="33" borderId="23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vertical="center"/>
    </xf>
    <xf numFmtId="3" fontId="15" fillId="0" borderId="0" xfId="58" applyNumberFormat="1" applyFont="1">
      <alignment/>
      <protection/>
    </xf>
    <xf numFmtId="2" fontId="34" fillId="0" borderId="0" xfId="59" applyNumberFormat="1" applyFont="1" applyAlignment="1">
      <alignment horizontal="center" vertical="center"/>
      <protection/>
    </xf>
    <xf numFmtId="1" fontId="38" fillId="0" borderId="41" xfId="59" applyNumberFormat="1" applyFont="1" applyFill="1" applyBorder="1" applyAlignment="1">
      <alignment horizontal="center" vertical="center" wrapText="1"/>
      <protection/>
    </xf>
    <xf numFmtId="1" fontId="38" fillId="0" borderId="24" xfId="59" applyNumberFormat="1" applyFont="1" applyFill="1" applyBorder="1" applyAlignment="1">
      <alignment horizontal="center" vertical="center" wrapText="1"/>
      <protection/>
    </xf>
    <xf numFmtId="1" fontId="38" fillId="0" borderId="16" xfId="59" applyNumberFormat="1" applyFont="1" applyFill="1" applyBorder="1" applyAlignment="1">
      <alignment horizontal="center" vertical="center" wrapText="1"/>
      <protection/>
    </xf>
    <xf numFmtId="1" fontId="36" fillId="0" borderId="43" xfId="59" applyNumberFormat="1" applyFont="1" applyBorder="1" applyAlignment="1">
      <alignment horizontal="center" vertical="center"/>
      <protection/>
    </xf>
    <xf numFmtId="1" fontId="36" fillId="0" borderId="39" xfId="59" applyNumberFormat="1" applyFont="1" applyBorder="1" applyAlignment="1">
      <alignment horizontal="center" vertical="center" wrapText="1"/>
      <protection/>
    </xf>
    <xf numFmtId="0" fontId="48" fillId="0" borderId="0" xfId="61" applyFont="1" applyFill="1" applyBorder="1" applyAlignment="1">
      <alignment horizontal="center" wrapText="1"/>
      <protection/>
    </xf>
    <xf numFmtId="0" fontId="3" fillId="0" borderId="35" xfId="0" applyFont="1" applyFill="1" applyBorder="1" applyAlignment="1">
      <alignment horizontal="center" vertical="center" wrapText="1"/>
    </xf>
    <xf numFmtId="0" fontId="48" fillId="0" borderId="0" xfId="61" applyFont="1" applyFill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55" fillId="0" borderId="54" xfId="0" applyFont="1" applyFill="1" applyBorder="1" applyAlignment="1" applyProtection="1">
      <alignment horizontal="center" vertical="center" wrapText="1"/>
      <protection/>
    </xf>
    <xf numFmtId="167" fontId="51" fillId="0" borderId="5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Continuous" vertical="center" wrapText="1"/>
    </xf>
    <xf numFmtId="0" fontId="12" fillId="1" borderId="25" xfId="58" applyFont="1" applyFill="1" applyBorder="1" applyAlignment="1">
      <alignment horizontal="center" vertical="center" wrapText="1"/>
      <protection/>
    </xf>
    <xf numFmtId="0" fontId="12" fillId="1" borderId="20" xfId="58" applyFont="1" applyFill="1" applyBorder="1" applyAlignment="1">
      <alignment horizontal="center" vertical="center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 applyProtection="1">
      <alignment horizontal="center" vertical="center" wrapText="1"/>
      <protection/>
    </xf>
    <xf numFmtId="0" fontId="51" fillId="0" borderId="45" xfId="0" applyFont="1" applyFill="1" applyBorder="1" applyAlignment="1" applyProtection="1">
      <alignment horizontal="center" vertical="center" wrapText="1"/>
      <protection/>
    </xf>
    <xf numFmtId="0" fontId="16" fillId="33" borderId="40" xfId="58" applyFont="1" applyFill="1" applyBorder="1" applyAlignment="1">
      <alignment horizontal="center" vertical="center"/>
      <protection/>
    </xf>
    <xf numFmtId="0" fontId="16" fillId="33" borderId="28" xfId="58" applyFont="1" applyFill="1" applyBorder="1" applyAlignment="1">
      <alignment horizontal="center" vertical="center"/>
      <protection/>
    </xf>
    <xf numFmtId="0" fontId="16" fillId="33" borderId="44" xfId="58" applyFont="1" applyFill="1" applyBorder="1" applyAlignment="1">
      <alignment horizontal="center" vertical="center"/>
      <protection/>
    </xf>
    <xf numFmtId="0" fontId="16" fillId="33" borderId="38" xfId="58" applyFont="1" applyFill="1" applyBorder="1" applyAlignment="1">
      <alignment horizontal="center" vertical="center"/>
      <protection/>
    </xf>
    <xf numFmtId="0" fontId="11" fillId="0" borderId="0" xfId="58" applyFont="1" applyAlignment="1">
      <alignment wrapText="1"/>
      <protection/>
    </xf>
    <xf numFmtId="0" fontId="40" fillId="0" borderId="0" xfId="43" applyFont="1" applyAlignment="1" applyProtection="1">
      <alignment wrapText="1"/>
      <protection/>
    </xf>
    <xf numFmtId="0" fontId="0" fillId="0" borderId="0" xfId="0" applyFont="1" applyFill="1" applyAlignment="1">
      <alignment vertical="center" wrapText="1"/>
    </xf>
    <xf numFmtId="0" fontId="69" fillId="0" borderId="45" xfId="0" applyFont="1" applyBorder="1" applyAlignment="1" applyProtection="1">
      <alignment horizontal="center" wrapText="1"/>
      <protection/>
    </xf>
    <xf numFmtId="0" fontId="53" fillId="0" borderId="45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7" fontId="0" fillId="0" borderId="0" xfId="0" applyNumberFormat="1" applyFont="1" applyFill="1" applyAlignment="1">
      <alignment vertical="center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3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3" fillId="0" borderId="11" xfId="58" applyFont="1" applyBorder="1" applyAlignment="1">
      <alignment horizontal="center" vertical="center"/>
      <protection/>
    </xf>
    <xf numFmtId="3" fontId="13" fillId="0" borderId="25" xfId="58" applyNumberFormat="1" applyFont="1" applyFill="1" applyBorder="1" applyAlignment="1">
      <alignment vertical="center"/>
      <protection/>
    </xf>
    <xf numFmtId="0" fontId="11" fillId="0" borderId="19" xfId="58" applyFont="1" applyBorder="1" applyAlignment="1">
      <alignment vertical="center" wrapText="1"/>
      <protection/>
    </xf>
    <xf numFmtId="0" fontId="11" fillId="0" borderId="21" xfId="58" applyFont="1" applyBorder="1" applyAlignment="1">
      <alignment vertical="center" wrapText="1"/>
      <protection/>
    </xf>
    <xf numFmtId="0" fontId="11" fillId="0" borderId="33" xfId="58" applyFont="1" applyBorder="1" applyAlignment="1">
      <alignment vertical="center" wrapText="1"/>
      <protection/>
    </xf>
    <xf numFmtId="0" fontId="11" fillId="0" borderId="37" xfId="58" applyFont="1" applyBorder="1" applyAlignment="1">
      <alignment vertical="center" wrapText="1"/>
      <protection/>
    </xf>
    <xf numFmtId="0" fontId="13" fillId="0" borderId="56" xfId="58" applyFont="1" applyBorder="1" applyAlignment="1">
      <alignment vertical="center" wrapText="1"/>
      <protection/>
    </xf>
    <xf numFmtId="0" fontId="11" fillId="0" borderId="19" xfId="58" applyFont="1" applyBorder="1" applyAlignment="1">
      <alignment vertical="center"/>
      <protection/>
    </xf>
    <xf numFmtId="0" fontId="11" fillId="0" borderId="33" xfId="58" applyFont="1" applyBorder="1" applyAlignment="1">
      <alignment vertical="center"/>
      <protection/>
    </xf>
    <xf numFmtId="0" fontId="13" fillId="0" borderId="11" xfId="58" applyFont="1" applyBorder="1" applyAlignment="1">
      <alignment vertical="center"/>
      <protection/>
    </xf>
    <xf numFmtId="0" fontId="17" fillId="0" borderId="11" xfId="58" applyFont="1" applyBorder="1" applyAlignment="1">
      <alignment horizontal="center" vertical="center"/>
      <protection/>
    </xf>
    <xf numFmtId="0" fontId="10" fillId="0" borderId="56" xfId="0" applyFont="1" applyBorder="1" applyAlignment="1">
      <alignment horizontal="center" vertical="center" wrapText="1"/>
    </xf>
    <xf numFmtId="0" fontId="20" fillId="0" borderId="33" xfId="58" applyFont="1" applyFill="1" applyBorder="1" applyAlignment="1">
      <alignment vertical="center" wrapText="1"/>
      <protection/>
    </xf>
    <xf numFmtId="0" fontId="13" fillId="0" borderId="11" xfId="58" applyFont="1" applyBorder="1" applyAlignment="1">
      <alignment vertical="center" wrapText="1"/>
      <protection/>
    </xf>
    <xf numFmtId="0" fontId="13" fillId="0" borderId="11" xfId="58" applyFont="1" applyFill="1" applyBorder="1" applyAlignment="1">
      <alignment vertical="center"/>
      <protection/>
    </xf>
    <xf numFmtId="0" fontId="39" fillId="0" borderId="56" xfId="58" applyFont="1" applyBorder="1" applyAlignment="1">
      <alignment horizontal="center" vertical="center"/>
      <protection/>
    </xf>
    <xf numFmtId="0" fontId="7" fillId="0" borderId="32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1" xfId="43" applyFont="1" applyBorder="1" applyAlignment="1" applyProtection="1">
      <alignment vertical="center" wrapText="1"/>
      <protection/>
    </xf>
    <xf numFmtId="0" fontId="7" fillId="0" borderId="31" xfId="0" applyFont="1" applyFill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39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41" fillId="0" borderId="13" xfId="0" applyNumberFormat="1" applyFont="1" applyFill="1" applyBorder="1" applyAlignment="1">
      <alignment vertical="center"/>
    </xf>
    <xf numFmtId="3" fontId="41" fillId="0" borderId="14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right" vertical="center"/>
    </xf>
    <xf numFmtId="3" fontId="7" fillId="0" borderId="27" xfId="0" applyNumberFormat="1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right" vertical="center" wrapText="1"/>
    </xf>
    <xf numFmtId="3" fontId="7" fillId="33" borderId="25" xfId="0" applyNumberFormat="1" applyFont="1" applyFill="1" applyBorder="1" applyAlignment="1">
      <alignment horizontal="right" vertical="center" wrapText="1"/>
    </xf>
    <xf numFmtId="3" fontId="7" fillId="33" borderId="12" xfId="0" applyNumberFormat="1" applyFont="1" applyFill="1" applyBorder="1" applyAlignment="1">
      <alignment horizontal="right" vertical="center" wrapText="1"/>
    </xf>
    <xf numFmtId="3" fontId="7" fillId="0" borderId="25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66" fillId="0" borderId="0" xfId="59" applyFont="1" applyAlignment="1">
      <alignment horizontal="right" vertical="center"/>
      <protection/>
    </xf>
    <xf numFmtId="0" fontId="35" fillId="0" borderId="0" xfId="59" applyFont="1" applyAlignment="1">
      <alignment horizontal="center" vertical="center"/>
      <protection/>
    </xf>
    <xf numFmtId="49" fontId="0" fillId="0" borderId="48" xfId="0" applyNumberFormat="1" applyFont="1" applyBorder="1" applyAlignment="1">
      <alignment horizontal="left"/>
    </xf>
    <xf numFmtId="0" fontId="13" fillId="0" borderId="35" xfId="58" applyFont="1" applyBorder="1" applyAlignment="1">
      <alignment horizontal="center" vertical="center"/>
      <protection/>
    </xf>
    <xf numFmtId="49" fontId="3" fillId="0" borderId="57" xfId="0" applyNumberFormat="1" applyFont="1" applyBorder="1" applyAlignment="1">
      <alignment horizontal="left" vertical="center"/>
    </xf>
    <xf numFmtId="3" fontId="3" fillId="0" borderId="44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10" fontId="34" fillId="0" borderId="0" xfId="59" applyNumberFormat="1" applyFont="1" applyAlignment="1">
      <alignment horizontal="center" vertical="center"/>
      <protection/>
    </xf>
    <xf numFmtId="0" fontId="34" fillId="0" borderId="12" xfId="59" applyFont="1" applyBorder="1" applyAlignment="1">
      <alignment horizontal="center" vertical="center"/>
      <protection/>
    </xf>
    <xf numFmtId="10" fontId="34" fillId="0" borderId="24" xfId="59" applyNumberFormat="1" applyFont="1" applyBorder="1" applyAlignment="1">
      <alignment horizontal="center" vertical="center"/>
      <protection/>
    </xf>
    <xf numFmtId="0" fontId="34" fillId="0" borderId="25" xfId="59" applyFont="1" applyBorder="1" applyAlignment="1">
      <alignment horizontal="center" vertical="center"/>
      <protection/>
    </xf>
    <xf numFmtId="10" fontId="34" fillId="0" borderId="51" xfId="59" applyNumberFormat="1" applyFont="1" applyBorder="1" applyAlignment="1">
      <alignment horizontal="center" vertical="center"/>
      <protection/>
    </xf>
    <xf numFmtId="0" fontId="34" fillId="0" borderId="22" xfId="59" applyFont="1" applyBorder="1" applyAlignment="1">
      <alignment horizontal="center" vertical="center"/>
      <protection/>
    </xf>
    <xf numFmtId="0" fontId="34" fillId="0" borderId="16" xfId="59" applyFont="1" applyBorder="1" applyAlignment="1">
      <alignment horizontal="center" vertical="center"/>
      <protection/>
    </xf>
    <xf numFmtId="0" fontId="34" fillId="0" borderId="27" xfId="59" applyFont="1" applyBorder="1" applyAlignment="1">
      <alignment horizontal="center" vertical="center"/>
      <protection/>
    </xf>
    <xf numFmtId="10" fontId="34" fillId="0" borderId="52" xfId="59" applyNumberFormat="1" applyFont="1" applyBorder="1" applyAlignment="1">
      <alignment horizontal="center" vertical="center"/>
      <protection/>
    </xf>
    <xf numFmtId="1" fontId="36" fillId="0" borderId="13" xfId="59" applyNumberFormat="1" applyFont="1" applyBorder="1" applyAlignment="1">
      <alignment horizontal="center" vertical="center"/>
      <protection/>
    </xf>
    <xf numFmtId="10" fontId="34" fillId="0" borderId="39" xfId="59" applyNumberFormat="1" applyFont="1" applyBorder="1" applyAlignment="1">
      <alignment horizontal="center" vertical="center"/>
      <protection/>
    </xf>
    <xf numFmtId="3" fontId="11" fillId="0" borderId="0" xfId="58" applyNumberFormat="1" applyFont="1">
      <alignment/>
      <protection/>
    </xf>
    <xf numFmtId="10" fontId="55" fillId="0" borderId="39" xfId="0" applyNumberFormat="1" applyFont="1" applyFill="1" applyBorder="1" applyAlignment="1" applyProtection="1">
      <alignment horizontal="right" vertical="center" wrapText="1" indent="1"/>
      <protection/>
    </xf>
    <xf numFmtId="3" fontId="43" fillId="0" borderId="58" xfId="58" applyNumberFormat="1" applyFont="1" applyFill="1" applyBorder="1" applyAlignment="1">
      <alignment horizontal="right"/>
      <protection/>
    </xf>
    <xf numFmtId="3" fontId="43" fillId="0" borderId="58" xfId="58" applyNumberFormat="1" applyFont="1" applyBorder="1" applyAlignment="1">
      <alignment horizontal="right"/>
      <protection/>
    </xf>
    <xf numFmtId="0" fontId="43" fillId="0" borderId="12" xfId="58" applyFont="1" applyBorder="1" applyAlignment="1">
      <alignment horizontal="right"/>
      <protection/>
    </xf>
    <xf numFmtId="3" fontId="43" fillId="0" borderId="12" xfId="58" applyNumberFormat="1" applyFont="1" applyBorder="1" applyAlignment="1">
      <alignment horizontal="right"/>
      <protection/>
    </xf>
    <xf numFmtId="3" fontId="43" fillId="0" borderId="12" xfId="58" applyNumberFormat="1" applyFont="1" applyFill="1" applyBorder="1" applyAlignment="1">
      <alignment horizontal="right"/>
      <protection/>
    </xf>
    <xf numFmtId="3" fontId="43" fillId="0" borderId="55" xfId="58" applyNumberFormat="1" applyFont="1" applyBorder="1" applyAlignment="1">
      <alignment horizontal="right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Continuous" vertical="center" wrapText="1"/>
    </xf>
    <xf numFmtId="0" fontId="3" fillId="0" borderId="39" xfId="0" applyFont="1" applyFill="1" applyBorder="1" applyAlignment="1">
      <alignment horizontal="centerContinuous" vertical="center" wrapText="1"/>
    </xf>
    <xf numFmtId="3" fontId="7" fillId="0" borderId="12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40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10" fontId="4" fillId="0" borderId="39" xfId="0" applyNumberFormat="1" applyFont="1" applyBorder="1" applyAlignment="1">
      <alignment vertical="center"/>
    </xf>
    <xf numFmtId="0" fontId="11" fillId="0" borderId="32" xfId="58" applyFont="1" applyBorder="1" applyAlignment="1">
      <alignment vertical="center" wrapText="1"/>
      <protection/>
    </xf>
    <xf numFmtId="0" fontId="11" fillId="0" borderId="31" xfId="58" applyFont="1" applyBorder="1" applyAlignment="1">
      <alignment vertical="center" wrapText="1"/>
      <protection/>
    </xf>
    <xf numFmtId="0" fontId="11" fillId="0" borderId="31" xfId="58" applyFont="1" applyFill="1" applyBorder="1" applyAlignment="1">
      <alignment vertical="center" wrapText="1"/>
      <protection/>
    </xf>
    <xf numFmtId="0" fontId="11" fillId="0" borderId="34" xfId="58" applyFont="1" applyBorder="1" applyAlignment="1">
      <alignment vertical="center" wrapText="1"/>
      <protection/>
    </xf>
    <xf numFmtId="0" fontId="11" fillId="0" borderId="59" xfId="58" applyFont="1" applyBorder="1" applyAlignment="1">
      <alignment vertical="center" wrapText="1"/>
      <protection/>
    </xf>
    <xf numFmtId="0" fontId="13" fillId="0" borderId="35" xfId="58" applyFont="1" applyBorder="1" applyAlignment="1">
      <alignment vertical="center" wrapText="1"/>
      <protection/>
    </xf>
    <xf numFmtId="0" fontId="17" fillId="0" borderId="35" xfId="58" applyFont="1" applyBorder="1" applyAlignment="1">
      <alignment horizontal="center" vertical="center" wrapText="1"/>
      <protection/>
    </xf>
    <xf numFmtId="0" fontId="11" fillId="0" borderId="47" xfId="58" applyFont="1" applyBorder="1" applyAlignment="1">
      <alignment vertical="center" wrapText="1"/>
      <protection/>
    </xf>
    <xf numFmtId="0" fontId="13" fillId="0" borderId="35" xfId="58" applyFont="1" applyBorder="1" applyAlignment="1">
      <alignment vertical="center"/>
      <protection/>
    </xf>
    <xf numFmtId="0" fontId="11" fillId="0" borderId="32" xfId="58" applyFont="1" applyFill="1" applyBorder="1" applyAlignment="1">
      <alignment vertical="center" wrapText="1"/>
      <protection/>
    </xf>
    <xf numFmtId="0" fontId="11" fillId="0" borderId="34" xfId="58" applyFont="1" applyBorder="1" applyAlignment="1">
      <alignment vertical="center"/>
      <protection/>
    </xf>
    <xf numFmtId="0" fontId="10" fillId="0" borderId="10" xfId="0" applyFont="1" applyBorder="1" applyAlignment="1">
      <alignment horizontal="center" vertical="center" wrapText="1"/>
    </xf>
    <xf numFmtId="0" fontId="39" fillId="0" borderId="35" xfId="58" applyFont="1" applyBorder="1" applyAlignment="1">
      <alignment horizontal="center" vertical="center"/>
      <protection/>
    </xf>
    <xf numFmtId="0" fontId="13" fillId="0" borderId="13" xfId="58" applyFont="1" applyBorder="1" applyAlignment="1">
      <alignment horizontal="center" vertical="center"/>
      <protection/>
    </xf>
    <xf numFmtId="0" fontId="13" fillId="0" borderId="14" xfId="58" applyFont="1" applyBorder="1" applyAlignment="1">
      <alignment horizontal="center" vertical="center"/>
      <protection/>
    </xf>
    <xf numFmtId="0" fontId="13" fillId="0" borderId="39" xfId="58" applyFont="1" applyBorder="1" applyAlignment="1">
      <alignment horizontal="center" vertical="center"/>
      <protection/>
    </xf>
    <xf numFmtId="3" fontId="11" fillId="0" borderId="25" xfId="58" applyNumberFormat="1" applyBorder="1" applyAlignment="1">
      <alignment vertical="center"/>
      <protection/>
    </xf>
    <xf numFmtId="3" fontId="11" fillId="0" borderId="20" xfId="58" applyNumberFormat="1" applyBorder="1" applyAlignment="1">
      <alignment vertical="center"/>
      <protection/>
    </xf>
    <xf numFmtId="3" fontId="11" fillId="0" borderId="12" xfId="58" applyNumberFormat="1" applyBorder="1" applyAlignment="1">
      <alignment vertical="center"/>
      <protection/>
    </xf>
    <xf numFmtId="3" fontId="11" fillId="0" borderId="23" xfId="58" applyNumberFormat="1" applyBorder="1" applyAlignment="1">
      <alignment vertical="center"/>
      <protection/>
    </xf>
    <xf numFmtId="3" fontId="11" fillId="0" borderId="27" xfId="58" applyNumberFormat="1" applyBorder="1" applyAlignment="1">
      <alignment vertical="center"/>
      <protection/>
    </xf>
    <xf numFmtId="3" fontId="11" fillId="0" borderId="26" xfId="58" applyNumberFormat="1" applyBorder="1" applyAlignment="1">
      <alignment vertical="center"/>
      <protection/>
    </xf>
    <xf numFmtId="3" fontId="11" fillId="0" borderId="22" xfId="58" applyNumberFormat="1" applyBorder="1" applyAlignment="1">
      <alignment vertical="center"/>
      <protection/>
    </xf>
    <xf numFmtId="3" fontId="11" fillId="0" borderId="15" xfId="58" applyNumberFormat="1" applyBorder="1" applyAlignment="1">
      <alignment vertical="center"/>
      <protection/>
    </xf>
    <xf numFmtId="3" fontId="11" fillId="0" borderId="36" xfId="58" applyNumberFormat="1" applyBorder="1" applyAlignment="1">
      <alignment vertical="center"/>
      <protection/>
    </xf>
    <xf numFmtId="3" fontId="11" fillId="0" borderId="42" xfId="58" applyNumberFormat="1" applyBorder="1" applyAlignment="1">
      <alignment vertical="center"/>
      <protection/>
    </xf>
    <xf numFmtId="3" fontId="13" fillId="0" borderId="27" xfId="58" applyNumberFormat="1" applyFont="1" applyBorder="1" applyAlignment="1">
      <alignment vertical="center"/>
      <protection/>
    </xf>
    <xf numFmtId="3" fontId="13" fillId="0" borderId="13" xfId="58" applyNumberFormat="1" applyFont="1" applyBorder="1" applyAlignment="1">
      <alignment vertical="center"/>
      <protection/>
    </xf>
    <xf numFmtId="3" fontId="13" fillId="0" borderId="14" xfId="58" applyNumberFormat="1" applyFont="1" applyBorder="1" applyAlignment="1">
      <alignment vertical="center"/>
      <protection/>
    </xf>
    <xf numFmtId="3" fontId="17" fillId="0" borderId="13" xfId="58" applyNumberFormat="1" applyFont="1" applyBorder="1" applyAlignment="1">
      <alignment vertical="center"/>
      <protection/>
    </xf>
    <xf numFmtId="3" fontId="17" fillId="0" borderId="14" xfId="58" applyNumberFormat="1" applyFont="1" applyBorder="1" applyAlignment="1">
      <alignment vertical="center"/>
      <protection/>
    </xf>
    <xf numFmtId="3" fontId="11" fillId="0" borderId="17" xfId="58" applyNumberFormat="1" applyFill="1" applyBorder="1" applyAlignment="1">
      <alignment vertical="center"/>
      <protection/>
    </xf>
    <xf numFmtId="3" fontId="11" fillId="0" borderId="25" xfId="58" applyNumberFormat="1" applyFont="1" applyBorder="1" applyAlignment="1">
      <alignment vertical="center"/>
      <protection/>
    </xf>
    <xf numFmtId="3" fontId="17" fillId="0" borderId="27" xfId="58" applyNumberFormat="1" applyFont="1" applyBorder="1" applyAlignment="1">
      <alignment vertical="center"/>
      <protection/>
    </xf>
    <xf numFmtId="3" fontId="17" fillId="0" borderId="36" xfId="58" applyNumberFormat="1" applyFont="1" applyBorder="1" applyAlignment="1">
      <alignment vertical="center"/>
      <protection/>
    </xf>
    <xf numFmtId="3" fontId="39" fillId="0" borderId="36" xfId="58" applyNumberFormat="1" applyFont="1" applyBorder="1" applyAlignment="1">
      <alignment vertical="center"/>
      <protection/>
    </xf>
    <xf numFmtId="3" fontId="11" fillId="0" borderId="17" xfId="58" applyNumberFormat="1" applyBorder="1" applyAlignment="1">
      <alignment vertical="center"/>
      <protection/>
    </xf>
    <xf numFmtId="3" fontId="11" fillId="0" borderId="18" xfId="58" applyNumberFormat="1" applyBorder="1" applyAlignment="1">
      <alignment vertical="center"/>
      <protection/>
    </xf>
    <xf numFmtId="3" fontId="11" fillId="0" borderId="12" xfId="58" applyNumberFormat="1" applyFill="1" applyBorder="1" applyAlignment="1">
      <alignment vertical="center"/>
      <protection/>
    </xf>
    <xf numFmtId="3" fontId="11" fillId="0" borderId="23" xfId="58" applyNumberFormat="1" applyFill="1" applyBorder="1" applyAlignment="1">
      <alignment vertical="center"/>
      <protection/>
    </xf>
    <xf numFmtId="3" fontId="11" fillId="0" borderId="13" xfId="58" applyNumberFormat="1" applyBorder="1" applyAlignment="1">
      <alignment vertical="center"/>
      <protection/>
    </xf>
    <xf numFmtId="3" fontId="11" fillId="0" borderId="14" xfId="58" applyNumberFormat="1" applyBorder="1" applyAlignment="1">
      <alignment vertical="center"/>
      <protection/>
    </xf>
    <xf numFmtId="3" fontId="39" fillId="0" borderId="13" xfId="58" applyNumberFormat="1" applyFont="1" applyBorder="1" applyAlignment="1">
      <alignment vertical="center"/>
      <protection/>
    </xf>
    <xf numFmtId="3" fontId="39" fillId="0" borderId="14" xfId="58" applyNumberFormat="1" applyFont="1" applyBorder="1" applyAlignment="1">
      <alignment vertical="center"/>
      <protection/>
    </xf>
    <xf numFmtId="0" fontId="3" fillId="0" borderId="13" xfId="0" applyFont="1" applyFill="1" applyBorder="1" applyAlignment="1">
      <alignment horizontal="centerContinuous" vertical="center" wrapText="1"/>
    </xf>
    <xf numFmtId="3" fontId="3" fillId="0" borderId="27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33" borderId="17" xfId="0" applyNumberFormat="1" applyFont="1" applyFill="1" applyBorder="1" applyAlignment="1">
      <alignment horizontal="right" vertical="center" wrapText="1"/>
    </xf>
    <xf numFmtId="3" fontId="7" fillId="33" borderId="18" xfId="0" applyNumberFormat="1" applyFont="1" applyFill="1" applyBorder="1" applyAlignment="1">
      <alignment horizontal="right" vertical="center" wrapText="1"/>
    </xf>
    <xf numFmtId="3" fontId="7" fillId="33" borderId="22" xfId="0" applyNumberFormat="1" applyFont="1" applyFill="1" applyBorder="1" applyAlignment="1">
      <alignment horizontal="right" vertical="center" wrapText="1"/>
    </xf>
    <xf numFmtId="49" fontId="0" fillId="0" borderId="37" xfId="0" applyNumberFormat="1" applyFont="1" applyBorder="1" applyAlignment="1">
      <alignment horizontal="left"/>
    </xf>
    <xf numFmtId="0" fontId="16" fillId="33" borderId="54" xfId="58" applyFont="1" applyFill="1" applyBorder="1" applyAlignment="1">
      <alignment horizontal="center" vertical="center"/>
      <protection/>
    </xf>
    <xf numFmtId="49" fontId="7" fillId="0" borderId="60" xfId="0" applyNumberFormat="1" applyFont="1" applyBorder="1" applyAlignment="1">
      <alignment horizontal="left" vertical="center"/>
    </xf>
    <xf numFmtId="0" fontId="51" fillId="0" borderId="50" xfId="0" applyFont="1" applyFill="1" applyBorder="1" applyAlignment="1" applyProtection="1">
      <alignment horizontal="center" vertical="center" wrapText="1"/>
      <protection/>
    </xf>
    <xf numFmtId="0" fontId="51" fillId="0" borderId="49" xfId="0" applyFont="1" applyFill="1" applyBorder="1" applyAlignment="1" applyProtection="1">
      <alignment horizontal="center" vertical="center" wrapText="1"/>
      <protection/>
    </xf>
    <xf numFmtId="167" fontId="55" fillId="0" borderId="46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0" fontId="55" fillId="0" borderId="35" xfId="0" applyNumberFormat="1" applyFont="1" applyFill="1" applyBorder="1" applyAlignment="1" applyProtection="1">
      <alignment horizontal="right" vertical="center" wrapText="1" indent="1"/>
      <protection/>
    </xf>
    <xf numFmtId="10" fontId="47" fillId="0" borderId="47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35" xfId="0" applyNumberFormat="1" applyFont="1" applyFill="1" applyBorder="1" applyAlignment="1" applyProtection="1">
      <alignment horizontal="right" vertical="center" wrapText="1" indent="1"/>
      <protection/>
    </xf>
    <xf numFmtId="167" fontId="51" fillId="0" borderId="27" xfId="0" applyNumberFormat="1" applyFont="1" applyFill="1" applyBorder="1" applyAlignment="1" applyProtection="1">
      <alignment horizontal="center" vertical="center" wrapText="1"/>
      <protection/>
    </xf>
    <xf numFmtId="167" fontId="55" fillId="0" borderId="13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44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13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55" fillId="0" borderId="54" xfId="61" applyFont="1" applyFill="1" applyBorder="1" applyAlignment="1" applyProtection="1">
      <alignment horizontal="left" vertical="center" wrapText="1" indent="1"/>
      <protection/>
    </xf>
    <xf numFmtId="0" fontId="47" fillId="0" borderId="61" xfId="61" applyFont="1" applyFill="1" applyBorder="1" applyAlignment="1" applyProtection="1">
      <alignment horizontal="left" vertical="center" wrapText="1" indent="1"/>
      <protection/>
    </xf>
    <xf numFmtId="0" fontId="47" fillId="0" borderId="58" xfId="61" applyFont="1" applyFill="1" applyBorder="1" applyAlignment="1" applyProtection="1">
      <alignment horizontal="left" vertical="center" wrapText="1" indent="1"/>
      <protection/>
    </xf>
    <xf numFmtId="0" fontId="55" fillId="0" borderId="54" xfId="61" applyFont="1" applyFill="1" applyBorder="1" applyAlignment="1" applyProtection="1">
      <alignment horizontal="left" vertical="center" wrapText="1" indent="1"/>
      <protection/>
    </xf>
    <xf numFmtId="0" fontId="55" fillId="0" borderId="35" xfId="61" applyFont="1" applyFill="1" applyBorder="1" applyAlignment="1" applyProtection="1">
      <alignment horizontal="left" vertical="center" wrapText="1" indent="1"/>
      <protection/>
    </xf>
    <xf numFmtId="0" fontId="51" fillId="0" borderId="54" xfId="0" applyFont="1" applyFill="1" applyBorder="1" applyAlignment="1" applyProtection="1">
      <alignment horizontal="left" vertical="center" wrapText="1" indent="1"/>
      <protection/>
    </xf>
    <xf numFmtId="0" fontId="29" fillId="0" borderId="35" xfId="0" applyFont="1" applyFill="1" applyBorder="1" applyAlignment="1" applyProtection="1">
      <alignment vertical="center" wrapText="1"/>
      <protection/>
    </xf>
    <xf numFmtId="167" fontId="4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41" xfId="0" applyNumberFormat="1" applyFont="1" applyFill="1" applyBorder="1" applyAlignment="1" applyProtection="1">
      <alignment horizontal="right" vertical="center" wrapText="1" indent="1"/>
      <protection/>
    </xf>
    <xf numFmtId="0" fontId="51" fillId="0" borderId="44" xfId="0" applyFont="1" applyFill="1" applyBorder="1" applyAlignment="1" applyProtection="1">
      <alignment horizontal="center" vertical="center" wrapText="1"/>
      <protection/>
    </xf>
    <xf numFmtId="167" fontId="4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40" xfId="0" applyFill="1" applyBorder="1" applyAlignment="1" applyProtection="1">
      <alignment horizontal="right" vertical="center" wrapText="1" indent="1"/>
      <protection/>
    </xf>
    <xf numFmtId="0" fontId="0" fillId="0" borderId="28" xfId="0" applyFill="1" applyBorder="1" applyAlignment="1" applyProtection="1">
      <alignment horizontal="right" vertical="center" wrapText="1" indent="1"/>
      <protection/>
    </xf>
    <xf numFmtId="0" fontId="0" fillId="0" borderId="28" xfId="0" applyFill="1" applyBorder="1" applyAlignment="1">
      <alignment vertical="center" wrapText="1"/>
    </xf>
    <xf numFmtId="0" fontId="0" fillId="0" borderId="53" xfId="0" applyFill="1" applyBorder="1" applyAlignment="1">
      <alignment vertical="center" wrapText="1"/>
    </xf>
    <xf numFmtId="3" fontId="29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51" fillId="0" borderId="63" xfId="0" applyFont="1" applyFill="1" applyBorder="1" applyAlignment="1" applyProtection="1">
      <alignment horizontal="center" vertical="center" wrapText="1"/>
      <protection/>
    </xf>
    <xf numFmtId="0" fontId="55" fillId="0" borderId="54" xfId="0" applyFont="1" applyFill="1" applyBorder="1" applyAlignment="1" applyProtection="1">
      <alignment horizontal="left" vertical="center" wrapText="1" indent="1"/>
      <protection/>
    </xf>
    <xf numFmtId="0" fontId="47" fillId="0" borderId="64" xfId="61" applyFont="1" applyFill="1" applyBorder="1" applyAlignment="1" applyProtection="1">
      <alignment horizontal="left" vertical="center" wrapText="1" indent="1"/>
      <protection/>
    </xf>
    <xf numFmtId="0" fontId="47" fillId="0" borderId="65" xfId="61" applyFont="1" applyFill="1" applyBorder="1" applyAlignment="1" applyProtection="1">
      <alignment horizontal="left" vertical="center" wrapText="1" indent="1"/>
      <protection/>
    </xf>
    <xf numFmtId="0" fontId="55" fillId="0" borderId="63" xfId="61" applyFont="1" applyFill="1" applyBorder="1" applyAlignment="1" applyProtection="1">
      <alignment horizontal="left" vertical="center" wrapText="1" indent="1"/>
      <protection/>
    </xf>
    <xf numFmtId="0" fontId="47" fillId="0" borderId="66" xfId="61" applyFont="1" applyFill="1" applyBorder="1" applyAlignment="1" applyProtection="1">
      <alignment horizontal="left" vertical="center" wrapText="1" indent="1"/>
      <protection/>
    </xf>
    <xf numFmtId="0" fontId="52" fillId="0" borderId="35" xfId="0" applyFont="1" applyBorder="1" applyAlignment="1" applyProtection="1">
      <alignment horizontal="left" wrapText="1" indent="1"/>
      <protection/>
    </xf>
    <xf numFmtId="0" fontId="55" fillId="0" borderId="46" xfId="0" applyFont="1" applyFill="1" applyBorder="1" applyAlignment="1" applyProtection="1">
      <alignment horizontal="center" vertical="center" wrapText="1"/>
      <protection/>
    </xf>
    <xf numFmtId="167" fontId="51" fillId="0" borderId="67" xfId="0" applyNumberFormat="1" applyFont="1" applyFill="1" applyBorder="1" applyAlignment="1" applyProtection="1">
      <alignment horizontal="center" vertical="center" wrapText="1"/>
      <protection/>
    </xf>
    <xf numFmtId="167" fontId="47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31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7" fontId="51" fillId="0" borderId="28" xfId="0" applyNumberFormat="1" applyFont="1" applyFill="1" applyBorder="1" applyAlignment="1" applyProtection="1">
      <alignment horizontal="center" vertical="center" wrapText="1"/>
      <protection/>
    </xf>
    <xf numFmtId="10" fontId="47" fillId="0" borderId="24" xfId="0" applyNumberFormat="1" applyFont="1" applyFill="1" applyBorder="1" applyAlignment="1" applyProtection="1">
      <alignment horizontal="right" vertical="center" wrapText="1" indent="1"/>
      <protection/>
    </xf>
    <xf numFmtId="167" fontId="51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right" vertical="center" wrapText="1" indent="1"/>
      <protection/>
    </xf>
    <xf numFmtId="0" fontId="0" fillId="0" borderId="28" xfId="0" applyFont="1" applyFill="1" applyBorder="1" applyAlignment="1" applyProtection="1">
      <alignment horizontal="right" vertical="center" wrapText="1" indent="1"/>
      <protection/>
    </xf>
    <xf numFmtId="0" fontId="0" fillId="0" borderId="53" xfId="0" applyFont="1" applyFill="1" applyBorder="1" applyAlignment="1" applyProtection="1">
      <alignment horizontal="right" vertical="center" wrapText="1" indent="1"/>
      <protection/>
    </xf>
    <xf numFmtId="0" fontId="29" fillId="0" borderId="46" xfId="0" applyFont="1" applyFill="1" applyBorder="1" applyAlignment="1">
      <alignment vertical="center"/>
    </xf>
    <xf numFmtId="10" fontId="55" fillId="0" borderId="43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72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72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74" xfId="0" applyFont="1" applyFill="1" applyBorder="1" applyAlignment="1" applyProtection="1">
      <alignment horizontal="right" vertical="center" wrapText="1" indent="1"/>
      <protection/>
    </xf>
    <xf numFmtId="3" fontId="29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14" xfId="0" applyNumberFormat="1" applyFont="1" applyFill="1" applyBorder="1" applyAlignment="1" applyProtection="1">
      <alignment horizontal="right" vertical="center" wrapText="1" indent="1"/>
      <protection/>
    </xf>
    <xf numFmtId="49" fontId="4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49" fontId="4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49" fontId="4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38" xfId="0" applyNumberFormat="1" applyFont="1" applyFill="1" applyBorder="1" applyAlignment="1" applyProtection="1">
      <alignment horizontal="right" vertical="center" wrapText="1" indent="1"/>
      <protection/>
    </xf>
    <xf numFmtId="49" fontId="4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14" xfId="0" applyNumberFormat="1" applyFont="1" applyFill="1" applyBorder="1" applyAlignment="1" applyProtection="1">
      <alignment horizontal="right" vertical="center" wrapText="1" indent="1"/>
      <protection/>
    </xf>
    <xf numFmtId="49" fontId="55" fillId="0" borderId="39" xfId="0" applyNumberFormat="1" applyFont="1" applyFill="1" applyBorder="1" applyAlignment="1" applyProtection="1">
      <alignment horizontal="right" vertical="center" wrapText="1" indent="1"/>
      <protection/>
    </xf>
    <xf numFmtId="49" fontId="47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49" fontId="4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39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53" xfId="0" applyNumberFormat="1" applyFont="1" applyFill="1" applyBorder="1" applyAlignment="1" applyProtection="1">
      <alignment horizontal="right" vertical="center" wrapText="1" indent="1"/>
      <protection/>
    </xf>
    <xf numFmtId="49" fontId="29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22" xfId="59" applyFont="1" applyBorder="1" applyAlignment="1">
      <alignment horizontal="center" vertical="center" wrapText="1"/>
      <protection/>
    </xf>
    <xf numFmtId="2" fontId="38" fillId="0" borderId="12" xfId="59" applyNumberFormat="1" applyFont="1" applyFill="1" applyBorder="1" applyAlignment="1">
      <alignment horizontal="center" vertical="center" wrapText="1"/>
      <protection/>
    </xf>
    <xf numFmtId="2" fontId="38" fillId="0" borderId="22" xfId="59" applyNumberFormat="1" applyFont="1" applyFill="1" applyBorder="1" applyAlignment="1">
      <alignment horizontal="center" vertical="center" wrapText="1"/>
      <protection/>
    </xf>
    <xf numFmtId="2" fontId="36" fillId="0" borderId="36" xfId="59" applyNumberFormat="1" applyFont="1" applyBorder="1" applyAlignment="1">
      <alignment horizontal="center" vertical="center"/>
      <protection/>
    </xf>
    <xf numFmtId="0" fontId="16" fillId="33" borderId="75" xfId="58" applyFont="1" applyFill="1" applyBorder="1" applyAlignment="1">
      <alignment horizontal="center" vertical="center"/>
      <protection/>
    </xf>
    <xf numFmtId="0" fontId="14" fillId="0" borderId="58" xfId="0" applyFont="1" applyFill="1" applyBorder="1" applyAlignment="1">
      <alignment horizontal="center" vertical="center"/>
    </xf>
    <xf numFmtId="0" fontId="14" fillId="0" borderId="58" xfId="58" applyFont="1" applyBorder="1" applyAlignment="1">
      <alignment horizontal="center" vertical="center"/>
      <protection/>
    </xf>
    <xf numFmtId="0" fontId="16" fillId="0" borderId="54" xfId="58" applyFont="1" applyBorder="1" applyAlignment="1">
      <alignment horizontal="center" vertical="center"/>
      <protection/>
    </xf>
    <xf numFmtId="0" fontId="16" fillId="33" borderId="60" xfId="58" applyFont="1" applyFill="1" applyBorder="1" applyAlignment="1">
      <alignment horizontal="center" vertical="center"/>
      <protection/>
    </xf>
    <xf numFmtId="0" fontId="14" fillId="0" borderId="47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3" fontId="15" fillId="0" borderId="12" xfId="58" applyNumberFormat="1" applyFont="1" applyFill="1" applyBorder="1" applyAlignment="1">
      <alignment vertical="center"/>
      <protection/>
    </xf>
    <xf numFmtId="3" fontId="15" fillId="0" borderId="12" xfId="0" applyNumberFormat="1" applyFont="1" applyFill="1" applyBorder="1" applyAlignment="1">
      <alignment horizontal="right" vertical="center"/>
    </xf>
    <xf numFmtId="3" fontId="15" fillId="0" borderId="12" xfId="58" applyNumberFormat="1" applyFont="1" applyFill="1" applyBorder="1" applyAlignment="1">
      <alignment horizontal="right" vertical="center"/>
      <protection/>
    </xf>
    <xf numFmtId="3" fontId="15" fillId="0" borderId="12" xfId="58" applyNumberFormat="1" applyFont="1" applyFill="1" applyBorder="1" applyAlignment="1">
      <alignment horizontal="right" vertical="center"/>
      <protection/>
    </xf>
    <xf numFmtId="3" fontId="12" fillId="0" borderId="13" xfId="58" applyNumberFormat="1" applyFont="1" applyFill="1" applyBorder="1" applyAlignment="1">
      <alignment horizontal="right" vertical="center"/>
      <protection/>
    </xf>
    <xf numFmtId="10" fontId="15" fillId="0" borderId="24" xfId="58" applyNumberFormat="1" applyFont="1" applyFill="1" applyBorder="1" applyAlignment="1">
      <alignment vertical="center"/>
      <protection/>
    </xf>
    <xf numFmtId="3" fontId="15" fillId="0" borderId="12" xfId="0" applyNumberFormat="1" applyFont="1" applyFill="1" applyBorder="1" applyAlignment="1">
      <alignment vertical="center"/>
    </xf>
    <xf numFmtId="3" fontId="15" fillId="0" borderId="12" xfId="58" applyNumberFormat="1" applyFont="1" applyFill="1" applyBorder="1" applyAlignment="1">
      <alignment vertical="center"/>
      <protection/>
    </xf>
    <xf numFmtId="3" fontId="15" fillId="0" borderId="17" xfId="0" applyNumberFormat="1" applyFont="1" applyFill="1" applyBorder="1" applyAlignment="1">
      <alignment horizontal="right" vertical="center"/>
    </xf>
    <xf numFmtId="3" fontId="15" fillId="0" borderId="25" xfId="0" applyNumberFormat="1" applyFont="1" applyFill="1" applyBorder="1" applyAlignment="1">
      <alignment horizontal="right" vertical="center"/>
    </xf>
    <xf numFmtId="3" fontId="12" fillId="0" borderId="13" xfId="58" applyNumberFormat="1" applyFont="1" applyBorder="1" applyAlignment="1">
      <alignment horizontal="right" vertical="center"/>
      <protection/>
    </xf>
    <xf numFmtId="3" fontId="15" fillId="0" borderId="17" xfId="58" applyNumberFormat="1" applyFont="1" applyBorder="1" applyAlignment="1">
      <alignment vertical="center"/>
      <protection/>
    </xf>
    <xf numFmtId="3" fontId="15" fillId="0" borderId="12" xfId="58" applyNumberFormat="1" applyFont="1" applyBorder="1" applyAlignment="1">
      <alignment vertical="center"/>
      <protection/>
    </xf>
    <xf numFmtId="0" fontId="11" fillId="0" borderId="48" xfId="58" applyFont="1" applyBorder="1">
      <alignment/>
      <protection/>
    </xf>
    <xf numFmtId="0" fontId="11" fillId="0" borderId="48" xfId="58" applyFont="1" applyFill="1" applyBorder="1">
      <alignment/>
      <protection/>
    </xf>
    <xf numFmtId="0" fontId="12" fillId="1" borderId="20" xfId="58" applyFont="1" applyFill="1" applyBorder="1" applyAlignment="1">
      <alignment horizontal="center" vertical="center" wrapText="1"/>
      <protection/>
    </xf>
    <xf numFmtId="0" fontId="7" fillId="0" borderId="31" xfId="0" applyFont="1" applyBorder="1" applyAlignment="1">
      <alignment horizontal="left" wrapText="1"/>
    </xf>
    <xf numFmtId="3" fontId="7" fillId="0" borderId="22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49" fontId="3" fillId="0" borderId="60" xfId="0" applyNumberFormat="1" applyFont="1" applyBorder="1" applyAlignment="1">
      <alignment horizontal="left" vertical="center"/>
    </xf>
    <xf numFmtId="0" fontId="3" fillId="0" borderId="60" xfId="0" applyFont="1" applyBorder="1" applyAlignment="1">
      <alignment horizontal="center" vertical="center" wrapText="1"/>
    </xf>
    <xf numFmtId="0" fontId="0" fillId="0" borderId="60" xfId="0" applyFont="1" applyBorder="1" applyAlignment="1">
      <alignment/>
    </xf>
    <xf numFmtId="10" fontId="2" fillId="0" borderId="39" xfId="0" applyNumberFormat="1" applyFont="1" applyBorder="1" applyAlignment="1">
      <alignment vertical="center"/>
    </xf>
    <xf numFmtId="49" fontId="3" fillId="0" borderId="60" xfId="0" applyNumberFormat="1" applyFont="1" applyBorder="1" applyAlignment="1">
      <alignment horizontal="center" vertical="center"/>
    </xf>
    <xf numFmtId="3" fontId="2" fillId="0" borderId="60" xfId="0" applyNumberFormat="1" applyFont="1" applyBorder="1" applyAlignment="1">
      <alignment vertical="center"/>
    </xf>
    <xf numFmtId="3" fontId="7" fillId="0" borderId="60" xfId="0" applyNumberFormat="1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1" fillId="0" borderId="0" xfId="57" applyFill="1">
      <alignment/>
      <protection/>
    </xf>
    <xf numFmtId="0" fontId="1" fillId="0" borderId="0" xfId="57" applyFill="1" applyAlignment="1">
      <alignment wrapText="1"/>
      <protection/>
    </xf>
    <xf numFmtId="0" fontId="72" fillId="0" borderId="0" xfId="57" applyFont="1" applyFill="1" applyBorder="1" applyAlignment="1" applyProtection="1">
      <alignment horizontal="center" vertical="center"/>
      <protection/>
    </xf>
    <xf numFmtId="0" fontId="73" fillId="0" borderId="0" xfId="57" applyFont="1" applyFill="1" applyBorder="1" applyAlignment="1" applyProtection="1">
      <alignment horizontal="right"/>
      <protection/>
    </xf>
    <xf numFmtId="0" fontId="52" fillId="0" borderId="11" xfId="57" applyFont="1" applyFill="1" applyBorder="1" applyAlignment="1" applyProtection="1">
      <alignment horizontal="center" vertical="center" wrapText="1"/>
      <protection/>
    </xf>
    <xf numFmtId="0" fontId="52" fillId="0" borderId="39" xfId="57" applyFont="1" applyFill="1" applyBorder="1" applyAlignment="1" applyProtection="1">
      <alignment horizontal="center" vertical="center" wrapText="1"/>
      <protection/>
    </xf>
    <xf numFmtId="0" fontId="1" fillId="0" borderId="0" xfId="57" applyFill="1" applyAlignment="1">
      <alignment/>
      <protection/>
    </xf>
    <xf numFmtId="0" fontId="68" fillId="0" borderId="12" xfId="57" applyFont="1" applyBorder="1">
      <alignment/>
      <protection/>
    </xf>
    <xf numFmtId="0" fontId="60" fillId="0" borderId="0" xfId="57" applyFont="1" applyFill="1" applyAlignment="1">
      <alignment vertical="center"/>
      <protection/>
    </xf>
    <xf numFmtId="0" fontId="1" fillId="0" borderId="12" xfId="57" applyBorder="1">
      <alignment/>
      <protection/>
    </xf>
    <xf numFmtId="0" fontId="1" fillId="0" borderId="12" xfId="57" applyFont="1" applyBorder="1">
      <alignment/>
      <protection/>
    </xf>
    <xf numFmtId="0" fontId="68" fillId="0" borderId="21" xfId="57" applyFont="1" applyBorder="1">
      <alignment/>
      <protection/>
    </xf>
    <xf numFmtId="0" fontId="68" fillId="0" borderId="33" xfId="57" applyFont="1" applyBorder="1">
      <alignment/>
      <protection/>
    </xf>
    <xf numFmtId="0" fontId="68" fillId="0" borderId="11" xfId="57" applyFont="1" applyBorder="1" applyAlignment="1">
      <alignment vertical="center"/>
      <protection/>
    </xf>
    <xf numFmtId="0" fontId="1" fillId="0" borderId="0" xfId="57" applyFill="1" applyAlignment="1">
      <alignment vertical="center"/>
      <protection/>
    </xf>
    <xf numFmtId="0" fontId="68" fillId="0" borderId="19" xfId="57" applyFont="1" applyBorder="1">
      <alignment/>
      <protection/>
    </xf>
    <xf numFmtId="0" fontId="68" fillId="0" borderId="11" xfId="57" applyFont="1" applyFill="1" applyBorder="1" applyAlignment="1">
      <alignment vertical="center"/>
      <protection/>
    </xf>
    <xf numFmtId="0" fontId="68" fillId="0" borderId="48" xfId="57" applyFont="1" applyFill="1" applyBorder="1">
      <alignment/>
      <protection/>
    </xf>
    <xf numFmtId="0" fontId="68" fillId="0" borderId="0" xfId="57" applyFont="1" applyFill="1">
      <alignment/>
      <protection/>
    </xf>
    <xf numFmtId="0" fontId="68" fillId="0" borderId="0" xfId="57" applyFont="1" applyFill="1" applyAlignment="1">
      <alignment vertical="center"/>
      <protection/>
    </xf>
    <xf numFmtId="0" fontId="68" fillId="0" borderId="11" xfId="57" applyFont="1" applyFill="1" applyBorder="1">
      <alignment/>
      <protection/>
    </xf>
    <xf numFmtId="0" fontId="74" fillId="0" borderId="37" xfId="57" applyFont="1" applyBorder="1" applyAlignment="1">
      <alignment vertical="center"/>
      <protection/>
    </xf>
    <xf numFmtId="0" fontId="1" fillId="0" borderId="0" xfId="57" applyFill="1" applyAlignment="1" applyProtection="1">
      <alignment vertical="center"/>
      <protection/>
    </xf>
    <xf numFmtId="0" fontId="1" fillId="0" borderId="0" xfId="57" applyFont="1" applyFill="1">
      <alignment/>
      <protection/>
    </xf>
    <xf numFmtId="0" fontId="52" fillId="0" borderId="14" xfId="57" applyFont="1" applyFill="1" applyBorder="1" applyAlignment="1" applyProtection="1">
      <alignment horizontal="center" vertical="center" wrapText="1"/>
      <protection/>
    </xf>
    <xf numFmtId="3" fontId="68" fillId="0" borderId="20" xfId="57" applyNumberFormat="1" applyFont="1" applyBorder="1" applyAlignment="1">
      <alignment horizontal="right"/>
      <protection/>
    </xf>
    <xf numFmtId="3" fontId="1" fillId="0" borderId="23" xfId="57" applyNumberFormat="1" applyFont="1" applyBorder="1" applyAlignment="1">
      <alignment horizontal="right"/>
      <protection/>
    </xf>
    <xf numFmtId="3" fontId="68" fillId="0" borderId="23" xfId="57" applyNumberFormat="1" applyFont="1" applyBorder="1" applyAlignment="1">
      <alignment horizontal="right"/>
      <protection/>
    </xf>
    <xf numFmtId="3" fontId="68" fillId="0" borderId="14" xfId="57" applyNumberFormat="1" applyFont="1" applyBorder="1" applyAlignment="1">
      <alignment horizontal="right" vertical="center"/>
      <protection/>
    </xf>
    <xf numFmtId="3" fontId="68" fillId="0" borderId="14" xfId="57" applyNumberFormat="1" applyFont="1" applyFill="1" applyBorder="1" applyAlignment="1">
      <alignment vertical="center"/>
      <protection/>
    </xf>
    <xf numFmtId="3" fontId="68" fillId="0" borderId="20" xfId="57" applyNumberFormat="1" applyFont="1" applyFill="1" applyBorder="1">
      <alignment/>
      <protection/>
    </xf>
    <xf numFmtId="3" fontId="1" fillId="0" borderId="23" xfId="57" applyNumberFormat="1" applyFont="1" applyFill="1" applyBorder="1">
      <alignment/>
      <protection/>
    </xf>
    <xf numFmtId="3" fontId="68" fillId="0" borderId="14" xfId="57" applyNumberFormat="1" applyFont="1" applyFill="1" applyBorder="1">
      <alignment/>
      <protection/>
    </xf>
    <xf numFmtId="3" fontId="68" fillId="0" borderId="23" xfId="57" applyNumberFormat="1" applyFont="1" applyBorder="1">
      <alignment/>
      <protection/>
    </xf>
    <xf numFmtId="3" fontId="68" fillId="0" borderId="26" xfId="57" applyNumberFormat="1" applyFont="1" applyBorder="1">
      <alignment/>
      <protection/>
    </xf>
    <xf numFmtId="3" fontId="74" fillId="0" borderId="15" xfId="57" applyNumberFormat="1" applyFont="1" applyBorder="1" applyAlignment="1">
      <alignment vertical="center"/>
      <protection/>
    </xf>
    <xf numFmtId="0" fontId="55" fillId="0" borderId="40" xfId="0" applyFont="1" applyFill="1" applyBorder="1" applyAlignment="1" applyProtection="1">
      <alignment horizontal="center" vertical="center" wrapText="1"/>
      <protection/>
    </xf>
    <xf numFmtId="49" fontId="47" fillId="0" borderId="28" xfId="61" applyNumberFormat="1" applyFont="1" applyFill="1" applyBorder="1" applyAlignment="1" applyProtection="1">
      <alignment horizontal="left" vertical="center" wrapText="1" indent="1"/>
      <protection/>
    </xf>
    <xf numFmtId="167" fontId="4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77" xfId="0" applyNumberFormat="1" applyFont="1" applyBorder="1" applyAlignment="1">
      <alignment horizontal="left"/>
    </xf>
    <xf numFmtId="49" fontId="7" fillId="0" borderId="59" xfId="0" applyNumberFormat="1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3" fillId="0" borderId="10" xfId="58" applyFont="1" applyBorder="1" applyAlignment="1">
      <alignment vertical="center" wrapText="1"/>
      <protection/>
    </xf>
    <xf numFmtId="0" fontId="0" fillId="0" borderId="23" xfId="58" applyFont="1" applyBorder="1" applyAlignment="1">
      <alignment horizontal="left" vertical="center" wrapText="1"/>
      <protection/>
    </xf>
    <xf numFmtId="0" fontId="11" fillId="0" borderId="0" xfId="58" applyFont="1" applyAlignment="1">
      <alignment horizontal="right"/>
      <protection/>
    </xf>
    <xf numFmtId="49" fontId="7" fillId="0" borderId="37" xfId="0" applyNumberFormat="1" applyFont="1" applyBorder="1" applyAlignment="1">
      <alignment horizontal="left" vertical="center"/>
    </xf>
    <xf numFmtId="49" fontId="7" fillId="0" borderId="59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left" vertical="center"/>
    </xf>
    <xf numFmtId="3" fontId="7" fillId="0" borderId="22" xfId="0" applyNumberFormat="1" applyFont="1" applyFill="1" applyBorder="1" applyAlignment="1">
      <alignment vertical="center"/>
    </xf>
    <xf numFmtId="0" fontId="68" fillId="0" borderId="12" xfId="57" applyFont="1" applyFill="1" applyBorder="1">
      <alignment/>
      <protection/>
    </xf>
    <xf numFmtId="3" fontId="68" fillId="0" borderId="23" xfId="57" applyNumberFormat="1" applyFont="1" applyFill="1" applyBorder="1">
      <alignment/>
      <protection/>
    </xf>
    <xf numFmtId="0" fontId="1" fillId="0" borderId="21" xfId="57" applyFont="1" applyFill="1" applyBorder="1">
      <alignment/>
      <protection/>
    </xf>
    <xf numFmtId="0" fontId="68" fillId="0" borderId="37" xfId="57" applyFont="1" applyFill="1" applyBorder="1">
      <alignment/>
      <protection/>
    </xf>
    <xf numFmtId="3" fontId="68" fillId="0" borderId="15" xfId="57" applyNumberFormat="1" applyFont="1" applyFill="1" applyBorder="1">
      <alignment/>
      <protection/>
    </xf>
    <xf numFmtId="3" fontId="68" fillId="0" borderId="15" xfId="57" applyNumberFormat="1" applyFont="1" applyBorder="1" applyAlignment="1">
      <alignment horizontal="right"/>
      <protection/>
    </xf>
    <xf numFmtId="0" fontId="1" fillId="0" borderId="0" xfId="57" applyFont="1" applyFill="1" applyAlignment="1">
      <alignment horizontal="right"/>
      <protection/>
    </xf>
    <xf numFmtId="3" fontId="7" fillId="0" borderId="17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vertical="center"/>
    </xf>
    <xf numFmtId="0" fontId="15" fillId="0" borderId="12" xfId="58" applyFont="1" applyFill="1" applyBorder="1" applyAlignment="1">
      <alignment horizontal="right" wrapText="1"/>
      <protection/>
    </xf>
    <xf numFmtId="0" fontId="75" fillId="0" borderId="0" xfId="58" applyFont="1" applyAlignment="1">
      <alignment horizontal="right"/>
      <protection/>
    </xf>
    <xf numFmtId="3" fontId="17" fillId="0" borderId="0" xfId="58" applyNumberFormat="1" applyFont="1" applyAlignment="1">
      <alignment horizontal="right"/>
      <protection/>
    </xf>
    <xf numFmtId="0" fontId="76" fillId="0" borderId="0" xfId="58" applyFont="1" applyAlignment="1">
      <alignment horizontal="center"/>
      <protection/>
    </xf>
    <xf numFmtId="0" fontId="77" fillId="0" borderId="0" xfId="58" applyFont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0" fontId="20" fillId="0" borderId="0" xfId="60">
      <alignment/>
      <protection/>
    </xf>
    <xf numFmtId="0" fontId="75" fillId="0" borderId="0" xfId="58" applyFont="1">
      <alignment/>
      <protection/>
    </xf>
    <xf numFmtId="3" fontId="11" fillId="0" borderId="0" xfId="58" applyNumberFormat="1">
      <alignment/>
      <protection/>
    </xf>
    <xf numFmtId="3" fontId="11" fillId="0" borderId="0" xfId="58" applyNumberFormat="1" applyFont="1" applyAlignment="1">
      <alignment horizontal="right"/>
      <protection/>
    </xf>
    <xf numFmtId="0" fontId="13" fillId="0" borderId="13" xfId="58" applyFont="1" applyBorder="1" applyAlignment="1">
      <alignment horizontal="center" vertical="center" wrapText="1"/>
      <protection/>
    </xf>
    <xf numFmtId="0" fontId="11" fillId="0" borderId="48" xfId="58" applyBorder="1" applyAlignment="1">
      <alignment vertical="center" wrapText="1"/>
      <protection/>
    </xf>
    <xf numFmtId="0" fontId="11" fillId="0" borderId="0" xfId="58" applyAlignment="1">
      <alignment vertical="center" wrapText="1"/>
      <protection/>
    </xf>
    <xf numFmtId="0" fontId="13" fillId="0" borderId="40" xfId="58" applyFont="1" applyBorder="1" applyAlignment="1">
      <alignment horizontal="center" vertical="center" wrapText="1"/>
      <protection/>
    </xf>
    <xf numFmtId="166" fontId="78" fillId="0" borderId="60" xfId="60" applyNumberFormat="1" applyFont="1" applyBorder="1" applyAlignment="1">
      <alignment horizontal="center" vertical="center" wrapText="1"/>
      <protection/>
    </xf>
    <xf numFmtId="3" fontId="78" fillId="0" borderId="44" xfId="60" applyNumberFormat="1" applyFont="1" applyBorder="1" applyAlignment="1">
      <alignment horizontal="center" vertical="center" wrapText="1"/>
      <protection/>
    </xf>
    <xf numFmtId="3" fontId="78" fillId="0" borderId="38" xfId="60" applyNumberFormat="1" applyFont="1" applyBorder="1" applyAlignment="1">
      <alignment horizontal="center" vertical="center" wrapText="1"/>
      <protection/>
    </xf>
    <xf numFmtId="3" fontId="78" fillId="0" borderId="49" xfId="60" applyNumberFormat="1" applyFont="1" applyBorder="1" applyAlignment="1">
      <alignment horizontal="center" vertical="center" wrapText="1"/>
      <protection/>
    </xf>
    <xf numFmtId="3" fontId="80" fillId="0" borderId="17" xfId="60" applyNumberFormat="1" applyFont="1" applyFill="1" applyBorder="1" applyAlignment="1">
      <alignment vertical="top"/>
      <protection/>
    </xf>
    <xf numFmtId="3" fontId="80" fillId="0" borderId="18" xfId="60" applyNumberFormat="1" applyFont="1" applyFill="1" applyBorder="1" applyAlignment="1">
      <alignment vertical="top"/>
      <protection/>
    </xf>
    <xf numFmtId="10" fontId="80" fillId="0" borderId="41" xfId="60" applyNumberFormat="1" applyFont="1" applyFill="1" applyBorder="1" applyAlignment="1">
      <alignment vertical="top"/>
      <protection/>
    </xf>
    <xf numFmtId="3" fontId="80" fillId="0" borderId="41" xfId="60" applyNumberFormat="1" applyFont="1" applyFill="1" applyBorder="1" applyAlignment="1">
      <alignment vertical="top"/>
      <protection/>
    </xf>
    <xf numFmtId="0" fontId="79" fillId="0" borderId="31" xfId="60" applyFont="1" applyFill="1" applyBorder="1" applyAlignment="1">
      <alignment horizontal="left"/>
      <protection/>
    </xf>
    <xf numFmtId="3" fontId="80" fillId="0" borderId="12" xfId="60" applyNumberFormat="1" applyFont="1" applyFill="1" applyBorder="1" applyAlignment="1">
      <alignment vertical="top"/>
      <protection/>
    </xf>
    <xf numFmtId="3" fontId="80" fillId="0" borderId="23" xfId="60" applyNumberFormat="1" applyFont="1" applyFill="1" applyBorder="1" applyAlignment="1">
      <alignment vertical="top"/>
      <protection/>
    </xf>
    <xf numFmtId="10" fontId="80" fillId="0" borderId="24" xfId="60" applyNumberFormat="1" applyFont="1" applyFill="1" applyBorder="1" applyAlignment="1">
      <alignment vertical="top"/>
      <protection/>
    </xf>
    <xf numFmtId="3" fontId="80" fillId="0" borderId="24" xfId="60" applyNumberFormat="1" applyFont="1" applyFill="1" applyBorder="1" applyAlignment="1">
      <alignment vertical="top"/>
      <protection/>
    </xf>
    <xf numFmtId="3" fontId="80" fillId="0" borderId="12" xfId="60" applyNumberFormat="1" applyFont="1" applyFill="1" applyBorder="1">
      <alignment/>
      <protection/>
    </xf>
    <xf numFmtId="3" fontId="80" fillId="0" borderId="23" xfId="60" applyNumberFormat="1" applyFont="1" applyFill="1" applyBorder="1">
      <alignment/>
      <protection/>
    </xf>
    <xf numFmtId="3" fontId="80" fillId="0" borderId="24" xfId="60" applyNumberFormat="1" applyFont="1" applyFill="1" applyBorder="1">
      <alignment/>
      <protection/>
    </xf>
    <xf numFmtId="0" fontId="11" fillId="0" borderId="22" xfId="58" applyFont="1" applyBorder="1" applyAlignment="1">
      <alignment horizontal="center" vertical="center"/>
      <protection/>
    </xf>
    <xf numFmtId="3" fontId="80" fillId="0" borderId="22" xfId="60" applyNumberFormat="1" applyFont="1" applyFill="1" applyBorder="1">
      <alignment/>
      <protection/>
    </xf>
    <xf numFmtId="3" fontId="80" fillId="0" borderId="15" xfId="60" applyNumberFormat="1" applyFont="1" applyFill="1" applyBorder="1">
      <alignment/>
      <protection/>
    </xf>
    <xf numFmtId="3" fontId="80" fillId="0" borderId="16" xfId="60" applyNumberFormat="1" applyFont="1" applyFill="1" applyBorder="1">
      <alignment/>
      <protection/>
    </xf>
    <xf numFmtId="0" fontId="11" fillId="0" borderId="13" xfId="58" applyFont="1" applyBorder="1" applyAlignment="1">
      <alignment horizontal="center" vertical="center"/>
      <protection/>
    </xf>
    <xf numFmtId="3" fontId="81" fillId="0" borderId="13" xfId="60" applyNumberFormat="1" applyFont="1" applyBorder="1" applyAlignment="1">
      <alignment vertical="center"/>
      <protection/>
    </xf>
    <xf numFmtId="3" fontId="81" fillId="0" borderId="14" xfId="60" applyNumberFormat="1" applyFont="1" applyBorder="1" applyAlignment="1">
      <alignment vertical="center"/>
      <protection/>
    </xf>
    <xf numFmtId="3" fontId="17" fillId="0" borderId="0" xfId="58" applyNumberFormat="1" applyFont="1" applyAlignment="1">
      <alignment horizontal="right" vertical="center"/>
      <protection/>
    </xf>
    <xf numFmtId="0" fontId="83" fillId="0" borderId="0" xfId="58" applyFont="1" applyAlignment="1">
      <alignment vertical="center"/>
      <protection/>
    </xf>
    <xf numFmtId="0" fontId="84" fillId="0" borderId="48" xfId="58" applyFont="1" applyBorder="1" applyAlignment="1">
      <alignment vertical="center"/>
      <protection/>
    </xf>
    <xf numFmtId="0" fontId="24" fillId="34" borderId="28" xfId="58" applyFont="1" applyFill="1" applyBorder="1" applyAlignment="1">
      <alignment horizontal="center" vertical="center" wrapText="1"/>
      <protection/>
    </xf>
    <xf numFmtId="0" fontId="11" fillId="0" borderId="48" xfId="58" applyBorder="1" applyAlignment="1">
      <alignment vertical="center"/>
      <protection/>
    </xf>
    <xf numFmtId="0" fontId="24" fillId="34" borderId="33" xfId="58" applyFont="1" applyFill="1" applyBorder="1" applyAlignment="1">
      <alignment horizontal="center" vertical="center" wrapText="1"/>
      <protection/>
    </xf>
    <xf numFmtId="3" fontId="24" fillId="34" borderId="78" xfId="58" applyNumberFormat="1" applyFont="1" applyFill="1" applyBorder="1" applyAlignment="1">
      <alignment horizontal="center" vertical="center" wrapText="1"/>
      <protection/>
    </xf>
    <xf numFmtId="3" fontId="24" fillId="34" borderId="79" xfId="58" applyNumberFormat="1" applyFont="1" applyFill="1" applyBorder="1" applyAlignment="1">
      <alignment horizontal="center" vertical="center" wrapText="1"/>
      <protection/>
    </xf>
    <xf numFmtId="3" fontId="24" fillId="34" borderId="80" xfId="58" applyNumberFormat="1" applyFont="1" applyFill="1" applyBorder="1" applyAlignment="1">
      <alignment horizontal="center" vertical="center" wrapText="1"/>
      <protection/>
    </xf>
    <xf numFmtId="0" fontId="79" fillId="0" borderId="21" xfId="0" applyFont="1" applyBorder="1" applyAlignment="1">
      <alignment vertical="center" wrapText="1"/>
    </xf>
    <xf numFmtId="0" fontId="79" fillId="0" borderId="23" xfId="0" applyFont="1" applyBorder="1" applyAlignment="1">
      <alignment horizontal="center" vertical="center" wrapText="1"/>
    </xf>
    <xf numFmtId="3" fontId="33" fillId="0" borderId="23" xfId="58" applyNumberFormat="1" applyFont="1" applyBorder="1" applyAlignment="1">
      <alignment horizontal="right" vertical="center" wrapText="1"/>
      <protection/>
    </xf>
    <xf numFmtId="3" fontId="33" fillId="0" borderId="20" xfId="58" applyNumberFormat="1" applyFont="1" applyBorder="1" applyAlignment="1">
      <alignment horizontal="right" vertical="center" wrapText="1"/>
      <protection/>
    </xf>
    <xf numFmtId="10" fontId="33" fillId="0" borderId="20" xfId="58" applyNumberFormat="1" applyFont="1" applyBorder="1" applyAlignment="1">
      <alignment horizontal="right" vertical="center" wrapText="1"/>
      <protection/>
    </xf>
    <xf numFmtId="10" fontId="33" fillId="0" borderId="23" xfId="58" applyNumberFormat="1" applyFont="1" applyBorder="1" applyAlignment="1">
      <alignment horizontal="right" vertical="center" wrapText="1"/>
      <protection/>
    </xf>
    <xf numFmtId="10" fontId="33" fillId="0" borderId="24" xfId="58" applyNumberFormat="1" applyFont="1" applyBorder="1" applyAlignment="1">
      <alignment horizontal="right" vertical="center" wrapText="1"/>
      <protection/>
    </xf>
    <xf numFmtId="3" fontId="33" fillId="0" borderId="23" xfId="58" applyNumberFormat="1" applyFont="1" applyFill="1" applyBorder="1" applyAlignment="1">
      <alignment vertical="center"/>
      <protection/>
    </xf>
    <xf numFmtId="3" fontId="24" fillId="34" borderId="81" xfId="58" applyNumberFormat="1" applyFont="1" applyFill="1" applyBorder="1" applyAlignment="1">
      <alignment horizontal="center" vertical="center" wrapText="1"/>
      <protection/>
    </xf>
    <xf numFmtId="3" fontId="24" fillId="34" borderId="82" xfId="58" applyNumberFormat="1" applyFont="1" applyFill="1" applyBorder="1" applyAlignment="1">
      <alignment horizontal="center" vertical="center" wrapText="1"/>
      <protection/>
    </xf>
    <xf numFmtId="3" fontId="39" fillId="34" borderId="82" xfId="58" applyNumberFormat="1" applyFont="1" applyFill="1" applyBorder="1" applyAlignment="1">
      <alignment horizontal="right" vertical="center" wrapText="1"/>
      <protection/>
    </xf>
    <xf numFmtId="10" fontId="39" fillId="34" borderId="82" xfId="58" applyNumberFormat="1" applyFont="1" applyFill="1" applyBorder="1" applyAlignment="1">
      <alignment horizontal="right" vertical="center" wrapText="1"/>
      <protection/>
    </xf>
    <xf numFmtId="3" fontId="24" fillId="0" borderId="0" xfId="58" applyNumberFormat="1" applyFont="1" applyFill="1" applyBorder="1" applyAlignment="1">
      <alignment horizontal="center" vertical="center" wrapText="1"/>
      <protection/>
    </xf>
    <xf numFmtId="3" fontId="39" fillId="0" borderId="0" xfId="58" applyNumberFormat="1" applyFont="1" applyFill="1" applyBorder="1" applyAlignment="1">
      <alignment horizontal="right" vertical="center" wrapText="1"/>
      <protection/>
    </xf>
    <xf numFmtId="0" fontId="84" fillId="0" borderId="0" xfId="58" applyFont="1" applyAlignment="1">
      <alignment vertical="center"/>
      <protection/>
    </xf>
    <xf numFmtId="0" fontId="11" fillId="0" borderId="48" xfId="58" applyFill="1" applyBorder="1" applyAlignment="1">
      <alignment vertical="center"/>
      <protection/>
    </xf>
    <xf numFmtId="0" fontId="11" fillId="0" borderId="0" xfId="58" applyFill="1" applyAlignment="1">
      <alignment vertical="center"/>
      <protection/>
    </xf>
    <xf numFmtId="0" fontId="24" fillId="34" borderId="83" xfId="58" applyFont="1" applyFill="1" applyBorder="1" applyAlignment="1">
      <alignment horizontal="center" vertical="center" wrapText="1"/>
      <protection/>
    </xf>
    <xf numFmtId="0" fontId="24" fillId="34" borderId="79" xfId="58" applyFont="1" applyFill="1" applyBorder="1" applyAlignment="1">
      <alignment horizontal="center" vertical="center" wrapText="1"/>
      <protection/>
    </xf>
    <xf numFmtId="0" fontId="79" fillId="0" borderId="19" xfId="0" applyFont="1" applyFill="1" applyBorder="1" applyAlignment="1">
      <alignment vertical="center" wrapText="1"/>
    </xf>
    <xf numFmtId="0" fontId="79" fillId="0" borderId="20" xfId="0" applyFont="1" applyFill="1" applyBorder="1" applyAlignment="1">
      <alignment horizontal="center" vertical="center" wrapText="1"/>
    </xf>
    <xf numFmtId="3" fontId="33" fillId="0" borderId="20" xfId="58" applyNumberFormat="1" applyFont="1" applyFill="1" applyBorder="1" applyAlignment="1">
      <alignment horizontal="right" vertical="center" wrapText="1"/>
      <protection/>
    </xf>
    <xf numFmtId="3" fontId="33" fillId="0" borderId="23" xfId="58" applyNumberFormat="1" applyFont="1" applyFill="1" applyBorder="1" applyAlignment="1">
      <alignment horizontal="right" vertical="center" wrapText="1"/>
      <protection/>
    </xf>
    <xf numFmtId="0" fontId="79" fillId="0" borderId="21" xfId="0" applyFont="1" applyFill="1" applyBorder="1" applyAlignment="1">
      <alignment vertical="center" wrapText="1"/>
    </xf>
    <xf numFmtId="0" fontId="79" fillId="0" borderId="23" xfId="0" applyFont="1" applyFill="1" applyBorder="1" applyAlignment="1">
      <alignment horizontal="center" vertical="center" wrapText="1"/>
    </xf>
    <xf numFmtId="0" fontId="79" fillId="0" borderId="84" xfId="0" applyFont="1" applyFill="1" applyBorder="1" applyAlignment="1">
      <alignment vertical="center" wrapText="1"/>
    </xf>
    <xf numFmtId="0" fontId="79" fillId="0" borderId="26" xfId="0" applyFont="1" applyFill="1" applyBorder="1" applyAlignment="1">
      <alignment horizontal="center" vertical="center" wrapText="1"/>
    </xf>
    <xf numFmtId="3" fontId="33" fillId="0" borderId="26" xfId="58" applyNumberFormat="1" applyFont="1" applyFill="1" applyBorder="1" applyAlignment="1">
      <alignment horizontal="right" vertical="center" wrapText="1"/>
      <protection/>
    </xf>
    <xf numFmtId="0" fontId="79" fillId="0" borderId="48" xfId="0" applyFont="1" applyFill="1" applyBorder="1" applyAlignment="1">
      <alignment vertical="center" wrapText="1"/>
    </xf>
    <xf numFmtId="0" fontId="79" fillId="0" borderId="28" xfId="0" applyFont="1" applyFill="1" applyBorder="1" applyAlignment="1">
      <alignment horizontal="center" vertical="center" wrapText="1"/>
    </xf>
    <xf numFmtId="3" fontId="33" fillId="0" borderId="28" xfId="58" applyNumberFormat="1" applyFont="1" applyFill="1" applyBorder="1" applyAlignment="1">
      <alignment horizontal="right" vertical="center" wrapText="1"/>
      <protection/>
    </xf>
    <xf numFmtId="10" fontId="11" fillId="0" borderId="0" xfId="58" applyNumberFormat="1" applyAlignment="1">
      <alignment vertical="center"/>
      <protection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9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23" xfId="0" applyBorder="1" applyAlignment="1">
      <alignment wrapText="1"/>
    </xf>
    <xf numFmtId="3" fontId="6" fillId="0" borderId="23" xfId="0" applyNumberFormat="1" applyFont="1" applyBorder="1" applyAlignment="1">
      <alignment/>
    </xf>
    <xf numFmtId="0" fontId="0" fillId="0" borderId="23" xfId="0" applyBorder="1" applyAlignment="1">
      <alignment/>
    </xf>
    <xf numFmtId="0" fontId="6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wrapText="1"/>
    </xf>
    <xf numFmtId="3" fontId="0" fillId="0" borderId="20" xfId="0" applyNumberFormat="1" applyBorder="1" applyAlignment="1">
      <alignment/>
    </xf>
    <xf numFmtId="0" fontId="0" fillId="0" borderId="20" xfId="0" applyFont="1" applyBorder="1" applyAlignment="1">
      <alignment/>
    </xf>
    <xf numFmtId="0" fontId="0" fillId="0" borderId="26" xfId="0" applyFont="1" applyBorder="1" applyAlignment="1">
      <alignment vertical="center" wrapText="1"/>
    </xf>
    <xf numFmtId="3" fontId="0" fillId="0" borderId="26" xfId="0" applyNumberForma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52" xfId="0" applyBorder="1" applyAlignment="1">
      <alignment/>
    </xf>
    <xf numFmtId="0" fontId="0" fillId="0" borderId="15" xfId="0" applyBorder="1" applyAlignment="1">
      <alignment wrapText="1"/>
    </xf>
    <xf numFmtId="3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3" fontId="0" fillId="0" borderId="18" xfId="0" applyNumberFormat="1" applyBorder="1" applyAlignment="1">
      <alignment horizontal="right" vertical="center"/>
    </xf>
    <xf numFmtId="0" fontId="0" fillId="0" borderId="18" xfId="0" applyFont="1" applyBorder="1" applyAlignment="1">
      <alignment horizontal="left" vertical="center"/>
    </xf>
    <xf numFmtId="3" fontId="0" fillId="0" borderId="41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3" fontId="0" fillId="0" borderId="18" xfId="0" applyNumberFormat="1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3" fontId="0" fillId="0" borderId="41" xfId="0" applyNumberFormat="1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3" fontId="0" fillId="0" borderId="28" xfId="0" applyNumberFormat="1" applyFont="1" applyBorder="1" applyAlignment="1">
      <alignment vertical="center" wrapText="1"/>
    </xf>
    <xf numFmtId="0" fontId="0" fillId="0" borderId="28" xfId="0" applyFont="1" applyBorder="1" applyAlignment="1">
      <alignment vertical="center"/>
    </xf>
    <xf numFmtId="3" fontId="0" fillId="0" borderId="53" xfId="0" applyNumberFormat="1" applyFon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/>
    </xf>
    <xf numFmtId="10" fontId="68" fillId="0" borderId="39" xfId="57" applyNumberFormat="1" applyFont="1" applyBorder="1" applyAlignment="1">
      <alignment horizontal="right" vertical="center"/>
      <protection/>
    </xf>
    <xf numFmtId="10" fontId="68" fillId="0" borderId="43" xfId="57" applyNumberFormat="1" applyFont="1" applyFill="1" applyBorder="1" applyAlignment="1">
      <alignment vertical="center"/>
      <protection/>
    </xf>
    <xf numFmtId="10" fontId="68" fillId="0" borderId="51" xfId="57" applyNumberFormat="1" applyFont="1" applyFill="1" applyBorder="1">
      <alignment/>
      <protection/>
    </xf>
    <xf numFmtId="10" fontId="68" fillId="0" borderId="39" xfId="57" applyNumberFormat="1" applyFont="1" applyFill="1" applyBorder="1" applyAlignment="1">
      <alignment vertical="center"/>
      <protection/>
    </xf>
    <xf numFmtId="10" fontId="68" fillId="0" borderId="39" xfId="57" applyNumberFormat="1" applyFont="1" applyFill="1" applyBorder="1">
      <alignment/>
      <protection/>
    </xf>
    <xf numFmtId="10" fontId="68" fillId="0" borderId="24" xfId="57" applyNumberFormat="1" applyFont="1" applyBorder="1">
      <alignment/>
      <protection/>
    </xf>
    <xf numFmtId="10" fontId="74" fillId="0" borderId="15" xfId="57" applyNumberFormat="1" applyFont="1" applyBorder="1" applyAlignment="1">
      <alignment vertical="center"/>
      <protection/>
    </xf>
    <xf numFmtId="167" fontId="9" fillId="0" borderId="0" xfId="0" applyNumberFormat="1" applyFont="1" applyFill="1" applyAlignment="1">
      <alignment horizontal="left" vertical="center" wrapText="1"/>
    </xf>
    <xf numFmtId="0" fontId="7" fillId="0" borderId="46" xfId="0" applyFont="1" applyFill="1" applyBorder="1" applyAlignment="1">
      <alignment horizontal="center" vertical="center" wrapText="1"/>
    </xf>
    <xf numFmtId="10" fontId="7" fillId="0" borderId="24" xfId="0" applyNumberFormat="1" applyFont="1" applyFill="1" applyBorder="1" applyAlignment="1">
      <alignment horizontal="right" vertical="center"/>
    </xf>
    <xf numFmtId="10" fontId="7" fillId="0" borderId="16" xfId="0" applyNumberFormat="1" applyFont="1" applyFill="1" applyBorder="1" applyAlignment="1">
      <alignment horizontal="right" vertical="center"/>
    </xf>
    <xf numFmtId="10" fontId="4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0" fontId="5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45" xfId="0" applyNumberFormat="1" applyFont="1" applyFill="1" applyBorder="1" applyAlignment="1">
      <alignment horizontal="right" vertical="center" wrapText="1"/>
    </xf>
    <xf numFmtId="3" fontId="3" fillId="33" borderId="39" xfId="0" applyNumberFormat="1" applyFont="1" applyFill="1" applyBorder="1" applyAlignment="1">
      <alignment horizontal="right" vertical="center" wrapText="1"/>
    </xf>
    <xf numFmtId="10" fontId="3" fillId="33" borderId="39" xfId="0" applyNumberFormat="1" applyFont="1" applyFill="1" applyBorder="1" applyAlignment="1">
      <alignment horizontal="right" vertical="center" wrapText="1"/>
    </xf>
    <xf numFmtId="10" fontId="7" fillId="33" borderId="41" xfId="0" applyNumberFormat="1" applyFont="1" applyFill="1" applyBorder="1" applyAlignment="1">
      <alignment horizontal="right" vertical="center" wrapText="1"/>
    </xf>
    <xf numFmtId="10" fontId="7" fillId="33" borderId="24" xfId="0" applyNumberFormat="1" applyFont="1" applyFill="1" applyBorder="1" applyAlignment="1">
      <alignment horizontal="right" vertical="center" wrapText="1"/>
    </xf>
    <xf numFmtId="10" fontId="7" fillId="0" borderId="24" xfId="0" applyNumberFormat="1" applyFont="1" applyFill="1" applyBorder="1" applyAlignment="1">
      <alignment horizontal="right" vertical="center" wrapText="1"/>
    </xf>
    <xf numFmtId="10" fontId="7" fillId="0" borderId="16" xfId="0" applyNumberFormat="1" applyFont="1" applyFill="1" applyBorder="1" applyAlignment="1">
      <alignment horizontal="right" vertical="center" wrapText="1"/>
    </xf>
    <xf numFmtId="10" fontId="7" fillId="0" borderId="51" xfId="0" applyNumberFormat="1" applyFont="1" applyFill="1" applyBorder="1" applyAlignment="1">
      <alignment horizontal="right" vertical="center" wrapText="1"/>
    </xf>
    <xf numFmtId="10" fontId="3" fillId="0" borderId="39" xfId="0" applyNumberFormat="1" applyFont="1" applyFill="1" applyBorder="1" applyAlignment="1">
      <alignment horizontal="right" vertical="center"/>
    </xf>
    <xf numFmtId="10" fontId="3" fillId="0" borderId="41" xfId="0" applyNumberFormat="1" applyFont="1" applyFill="1" applyBorder="1" applyAlignment="1">
      <alignment horizontal="right" vertical="center"/>
    </xf>
    <xf numFmtId="10" fontId="3" fillId="0" borderId="24" xfId="0" applyNumberFormat="1" applyFont="1" applyFill="1" applyBorder="1" applyAlignment="1">
      <alignment horizontal="right" vertical="center"/>
    </xf>
    <xf numFmtId="10" fontId="3" fillId="0" borderId="16" xfId="0" applyNumberFormat="1" applyFont="1" applyFill="1" applyBorder="1" applyAlignment="1">
      <alignment horizontal="right" vertical="center"/>
    </xf>
    <xf numFmtId="10" fontId="7" fillId="0" borderId="51" xfId="0" applyNumberFormat="1" applyFont="1" applyFill="1" applyBorder="1" applyAlignment="1">
      <alignment horizontal="right" vertical="center"/>
    </xf>
    <xf numFmtId="10" fontId="3" fillId="0" borderId="24" xfId="0" applyNumberFormat="1" applyFont="1" applyFill="1" applyBorder="1" applyAlignment="1">
      <alignment vertical="center"/>
    </xf>
    <xf numFmtId="10" fontId="3" fillId="0" borderId="39" xfId="0" applyNumberFormat="1" applyFont="1" applyFill="1" applyBorder="1" applyAlignment="1">
      <alignment vertical="center"/>
    </xf>
    <xf numFmtId="10" fontId="3" fillId="0" borderId="51" xfId="0" applyNumberFormat="1" applyFont="1" applyFill="1" applyBorder="1" applyAlignment="1">
      <alignment vertical="center"/>
    </xf>
    <xf numFmtId="10" fontId="7" fillId="0" borderId="52" xfId="0" applyNumberFormat="1" applyFont="1" applyFill="1" applyBorder="1" applyAlignment="1">
      <alignment vertical="center"/>
    </xf>
    <xf numFmtId="10" fontId="7" fillId="0" borderId="24" xfId="0" applyNumberFormat="1" applyFont="1" applyFill="1" applyBorder="1" applyAlignment="1">
      <alignment vertical="center"/>
    </xf>
    <xf numFmtId="10" fontId="3" fillId="0" borderId="39" xfId="0" applyNumberFormat="1" applyFont="1" applyBorder="1" applyAlignment="1">
      <alignment vertical="center"/>
    </xf>
    <xf numFmtId="10" fontId="7" fillId="0" borderId="51" xfId="0" applyNumberFormat="1" applyFont="1" applyFill="1" applyBorder="1" applyAlignment="1">
      <alignment vertical="center"/>
    </xf>
    <xf numFmtId="10" fontId="41" fillId="0" borderId="39" xfId="0" applyNumberFormat="1" applyFont="1" applyFill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10" fontId="7" fillId="0" borderId="52" xfId="0" applyNumberFormat="1" applyFont="1" applyBorder="1" applyAlignment="1">
      <alignment vertical="center"/>
    </xf>
    <xf numFmtId="10" fontId="3" fillId="0" borderId="49" xfId="0" applyNumberFormat="1" applyFont="1" applyBorder="1" applyAlignment="1">
      <alignment vertical="center"/>
    </xf>
    <xf numFmtId="167" fontId="47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55" fillId="0" borderId="45" xfId="0" applyFont="1" applyFill="1" applyBorder="1" applyAlignment="1" applyProtection="1">
      <alignment horizontal="center" vertical="center" wrapText="1"/>
      <protection/>
    </xf>
    <xf numFmtId="167" fontId="51" fillId="0" borderId="85" xfId="0" applyNumberFormat="1" applyFont="1" applyFill="1" applyBorder="1" applyAlignment="1" applyProtection="1">
      <alignment horizontal="center" vertical="center" wrapText="1"/>
      <protection/>
    </xf>
    <xf numFmtId="167" fontId="47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76" xfId="0" applyFont="1" applyFill="1" applyBorder="1" applyAlignment="1" applyProtection="1">
      <alignment horizontal="right" vertical="center" wrapText="1" indent="1"/>
      <protection/>
    </xf>
    <xf numFmtId="167" fontId="51" fillId="0" borderId="53" xfId="0" applyNumberFormat="1" applyFont="1" applyFill="1" applyBorder="1" applyAlignment="1" applyProtection="1">
      <alignment horizontal="center" vertical="center" wrapText="1"/>
      <protection/>
    </xf>
    <xf numFmtId="3" fontId="16" fillId="33" borderId="44" xfId="58" applyNumberFormat="1" applyFont="1" applyFill="1" applyBorder="1" applyAlignment="1">
      <alignment horizontal="center" vertical="center"/>
      <protection/>
    </xf>
    <xf numFmtId="3" fontId="16" fillId="33" borderId="38" xfId="58" applyNumberFormat="1" applyFont="1" applyFill="1" applyBorder="1" applyAlignment="1">
      <alignment horizontal="center" vertical="center" wrapText="1"/>
      <protection/>
    </xf>
    <xf numFmtId="3" fontId="16" fillId="33" borderId="38" xfId="58" applyNumberFormat="1" applyFont="1" applyFill="1" applyBorder="1" applyAlignment="1">
      <alignment horizontal="center" vertical="center"/>
      <protection/>
    </xf>
    <xf numFmtId="3" fontId="16" fillId="33" borderId="49" xfId="58" applyNumberFormat="1" applyFont="1" applyFill="1" applyBorder="1" applyAlignment="1">
      <alignment horizontal="center" vertical="center"/>
      <protection/>
    </xf>
    <xf numFmtId="3" fontId="12" fillId="0" borderId="14" xfId="58" applyNumberFormat="1" applyFont="1" applyFill="1" applyBorder="1" applyAlignment="1">
      <alignment horizontal="right" vertical="center"/>
      <protection/>
    </xf>
    <xf numFmtId="10" fontId="12" fillId="0" borderId="39" xfId="58" applyNumberFormat="1" applyFont="1" applyFill="1" applyBorder="1" applyAlignment="1">
      <alignment horizontal="right" vertical="center"/>
      <protection/>
    </xf>
    <xf numFmtId="3" fontId="15" fillId="0" borderId="23" xfId="0" applyNumberFormat="1" applyFont="1" applyFill="1" applyBorder="1" applyAlignment="1">
      <alignment vertical="center"/>
    </xf>
    <xf numFmtId="3" fontId="15" fillId="0" borderId="23" xfId="58" applyNumberFormat="1" applyFont="1" applyFill="1" applyBorder="1" applyAlignment="1">
      <alignment vertical="center"/>
      <protection/>
    </xf>
    <xf numFmtId="3" fontId="12" fillId="0" borderId="14" xfId="58" applyNumberFormat="1" applyFont="1" applyBorder="1" applyAlignment="1">
      <alignment horizontal="right" vertical="center"/>
      <protection/>
    </xf>
    <xf numFmtId="0" fontId="6" fillId="1" borderId="35" xfId="58" applyFont="1" applyFill="1" applyBorder="1" applyAlignment="1">
      <alignment horizontal="center" vertical="center"/>
      <protection/>
    </xf>
    <xf numFmtId="0" fontId="0" fillId="0" borderId="64" xfId="58" applyFont="1" applyFill="1" applyBorder="1" applyAlignment="1">
      <alignment horizontal="center" vertical="center"/>
      <protection/>
    </xf>
    <xf numFmtId="0" fontId="2" fillId="0" borderId="32" xfId="58" applyFont="1" applyBorder="1" applyAlignment="1">
      <alignment horizontal="center" vertical="center"/>
      <protection/>
    </xf>
    <xf numFmtId="0" fontId="2" fillId="0" borderId="58" xfId="58" applyFont="1" applyBorder="1" applyAlignment="1">
      <alignment horizontal="center" vertical="center"/>
      <protection/>
    </xf>
    <xf numFmtId="0" fontId="0" fillId="0" borderId="58" xfId="58" applyFont="1" applyFill="1" applyBorder="1" applyAlignment="1">
      <alignment horizontal="center" vertical="center"/>
      <protection/>
    </xf>
    <xf numFmtId="0" fontId="6" fillId="0" borderId="54" xfId="58" applyFont="1" applyBorder="1" applyAlignment="1">
      <alignment vertical="center"/>
      <protection/>
    </xf>
    <xf numFmtId="0" fontId="6" fillId="1" borderId="13" xfId="58" applyFont="1" applyFill="1" applyBorder="1" applyAlignment="1">
      <alignment horizontal="center" vertical="center" wrapText="1"/>
      <protection/>
    </xf>
    <xf numFmtId="3" fontId="7" fillId="0" borderId="17" xfId="58" applyNumberFormat="1" applyFont="1" applyFill="1" applyBorder="1" applyAlignment="1">
      <alignment horizontal="right" vertical="center"/>
      <protection/>
    </xf>
    <xf numFmtId="3" fontId="7" fillId="0" borderId="25" xfId="58" applyNumberFormat="1" applyFont="1" applyBorder="1" applyAlignment="1">
      <alignment horizontal="right" vertical="center"/>
      <protection/>
    </xf>
    <xf numFmtId="3" fontId="7" fillId="0" borderId="12" xfId="58" applyNumberFormat="1" applyFont="1" applyBorder="1" applyAlignment="1">
      <alignment horizontal="right" vertical="center"/>
      <protection/>
    </xf>
    <xf numFmtId="3" fontId="7" fillId="0" borderId="12" xfId="58" applyNumberFormat="1" applyFont="1" applyFill="1" applyBorder="1" applyAlignment="1">
      <alignment horizontal="right" vertical="center"/>
      <protection/>
    </xf>
    <xf numFmtId="3" fontId="3" fillId="0" borderId="13" xfId="58" applyNumberFormat="1" applyFont="1" applyBorder="1" applyAlignment="1">
      <alignment vertical="center"/>
      <protection/>
    </xf>
    <xf numFmtId="10" fontId="43" fillId="0" borderId="58" xfId="58" applyNumberFormat="1" applyFont="1" applyFill="1" applyBorder="1" applyAlignment="1">
      <alignment horizontal="right"/>
      <protection/>
    </xf>
    <xf numFmtId="0" fontId="11" fillId="0" borderId="0" xfId="58" applyFont="1" applyBorder="1">
      <alignment/>
      <protection/>
    </xf>
    <xf numFmtId="3" fontId="18" fillId="0" borderId="88" xfId="40" applyNumberFormat="1" applyFont="1" applyBorder="1" applyAlignment="1">
      <alignment horizontal="right" vertical="center"/>
    </xf>
    <xf numFmtId="3" fontId="18" fillId="0" borderId="88" xfId="58" applyNumberFormat="1" applyFont="1" applyBorder="1" applyAlignment="1">
      <alignment horizontal="right"/>
      <protection/>
    </xf>
    <xf numFmtId="3" fontId="18" fillId="0" borderId="71" xfId="58" applyNumberFormat="1" applyFont="1" applyBorder="1" applyAlignment="1">
      <alignment horizontal="right"/>
      <protection/>
    </xf>
    <xf numFmtId="10" fontId="18" fillId="0" borderId="16" xfId="58" applyNumberFormat="1" applyFont="1" applyFill="1" applyBorder="1" applyAlignment="1">
      <alignment horizontal="right"/>
      <protection/>
    </xf>
    <xf numFmtId="3" fontId="1" fillId="0" borderId="26" xfId="57" applyNumberFormat="1" applyFont="1" applyBorder="1">
      <alignment/>
      <protection/>
    </xf>
    <xf numFmtId="10" fontId="1" fillId="0" borderId="52" xfId="57" applyNumberFormat="1" applyFont="1" applyBorder="1">
      <alignment/>
      <protection/>
    </xf>
    <xf numFmtId="3" fontId="68" fillId="0" borderId="42" xfId="57" applyNumberFormat="1" applyFont="1" applyFill="1" applyBorder="1" applyAlignment="1">
      <alignment vertical="center"/>
      <protection/>
    </xf>
    <xf numFmtId="3" fontId="1" fillId="0" borderId="23" xfId="57" applyNumberFormat="1" applyFont="1" applyBorder="1">
      <alignment/>
      <protection/>
    </xf>
    <xf numFmtId="10" fontId="1" fillId="0" borderId="24" xfId="57" applyNumberFormat="1" applyFont="1" applyBorder="1">
      <alignment/>
      <protection/>
    </xf>
    <xf numFmtId="3" fontId="1" fillId="0" borderId="0" xfId="57" applyNumberFormat="1" applyAlignment="1">
      <alignment vertical="center" wrapText="1"/>
      <protection/>
    </xf>
    <xf numFmtId="3" fontId="1" fillId="0" borderId="0" xfId="57" applyNumberFormat="1" applyAlignment="1">
      <alignment vertical="center"/>
      <protection/>
    </xf>
    <xf numFmtId="3" fontId="1" fillId="0" borderId="0" xfId="57" applyNumberFormat="1" applyAlignment="1">
      <alignment horizontal="right" vertical="center"/>
      <protection/>
    </xf>
    <xf numFmtId="3" fontId="87" fillId="0" borderId="15" xfId="57" applyNumberFormat="1" applyFont="1" applyFill="1" applyBorder="1" applyAlignment="1">
      <alignment horizontal="center" vertical="center"/>
      <protection/>
    </xf>
    <xf numFmtId="3" fontId="87" fillId="0" borderId="88" xfId="57" applyNumberFormat="1" applyFont="1" applyFill="1" applyBorder="1" applyAlignment="1">
      <alignment horizontal="center" vertical="center"/>
      <protection/>
    </xf>
    <xf numFmtId="3" fontId="87" fillId="0" borderId="16" xfId="57" applyNumberFormat="1" applyFont="1" applyFill="1" applyBorder="1" applyAlignment="1">
      <alignment horizontal="center" vertical="center"/>
      <protection/>
    </xf>
    <xf numFmtId="3" fontId="27" fillId="0" borderId="25" xfId="57" applyNumberFormat="1" applyFont="1" applyBorder="1" applyAlignment="1">
      <alignment vertical="center" wrapText="1"/>
      <protection/>
    </xf>
    <xf numFmtId="3" fontId="27" fillId="0" borderId="20" xfId="57" applyNumberFormat="1" applyFont="1" applyBorder="1" applyAlignment="1">
      <alignment vertical="center"/>
      <protection/>
    </xf>
    <xf numFmtId="3" fontId="27" fillId="0" borderId="20" xfId="57" applyNumberFormat="1" applyFont="1" applyBorder="1" applyAlignment="1">
      <alignment horizontal="right" vertical="center"/>
      <protection/>
    </xf>
    <xf numFmtId="3" fontId="27" fillId="0" borderId="12" xfId="57" applyNumberFormat="1" applyFont="1" applyBorder="1" applyAlignment="1">
      <alignment vertical="center" wrapText="1"/>
      <protection/>
    </xf>
    <xf numFmtId="3" fontId="27" fillId="0" borderId="23" xfId="57" applyNumberFormat="1" applyFont="1" applyBorder="1" applyAlignment="1">
      <alignment vertical="center"/>
      <protection/>
    </xf>
    <xf numFmtId="3" fontId="27" fillId="0" borderId="23" xfId="57" applyNumberFormat="1" applyFont="1" applyBorder="1" applyAlignment="1">
      <alignment horizontal="right" vertical="center"/>
      <protection/>
    </xf>
    <xf numFmtId="3" fontId="27" fillId="0" borderId="24" xfId="57" applyNumberFormat="1" applyFont="1" applyBorder="1" applyAlignment="1">
      <alignment horizontal="right" vertical="center"/>
      <protection/>
    </xf>
    <xf numFmtId="3" fontId="27" fillId="0" borderId="27" xfId="57" applyNumberFormat="1" applyFont="1" applyBorder="1" applyAlignment="1">
      <alignment vertical="center" wrapText="1"/>
      <protection/>
    </xf>
    <xf numFmtId="3" fontId="27" fillId="0" borderId="26" xfId="57" applyNumberFormat="1" applyFont="1" applyBorder="1" applyAlignment="1">
      <alignment vertical="center"/>
      <protection/>
    </xf>
    <xf numFmtId="3" fontId="27" fillId="0" borderId="26" xfId="57" applyNumberFormat="1" applyFont="1" applyBorder="1" applyAlignment="1">
      <alignment horizontal="right" vertical="center"/>
      <protection/>
    </xf>
    <xf numFmtId="3" fontId="27" fillId="0" borderId="22" xfId="57" applyNumberFormat="1" applyFont="1" applyBorder="1" applyAlignment="1">
      <alignment vertical="center" wrapText="1"/>
      <protection/>
    </xf>
    <xf numFmtId="3" fontId="27" fillId="0" borderId="15" xfId="57" applyNumberFormat="1" applyFont="1" applyBorder="1" applyAlignment="1">
      <alignment vertical="center"/>
      <protection/>
    </xf>
    <xf numFmtId="3" fontId="27" fillId="0" borderId="15" xfId="57" applyNumberFormat="1" applyFont="1" applyBorder="1" applyAlignment="1">
      <alignment horizontal="right" vertical="center"/>
      <protection/>
    </xf>
    <xf numFmtId="3" fontId="27" fillId="0" borderId="16" xfId="57" applyNumberFormat="1" applyFont="1" applyBorder="1" applyAlignment="1">
      <alignment horizontal="right" vertical="center"/>
      <protection/>
    </xf>
    <xf numFmtId="3" fontId="25" fillId="0" borderId="36" xfId="57" applyNumberFormat="1" applyFont="1" applyBorder="1" applyAlignment="1">
      <alignment vertical="center" wrapText="1"/>
      <protection/>
    </xf>
    <xf numFmtId="3" fontId="25" fillId="0" borderId="42" xfId="57" applyNumberFormat="1" applyFont="1" applyBorder="1" applyAlignment="1">
      <alignment vertical="center"/>
      <protection/>
    </xf>
    <xf numFmtId="3" fontId="25" fillId="0" borderId="43" xfId="57" applyNumberFormat="1" applyFont="1" applyBorder="1" applyAlignment="1">
      <alignment vertical="center"/>
      <protection/>
    </xf>
    <xf numFmtId="0" fontId="27" fillId="0" borderId="25" xfId="57" applyFont="1" applyFill="1" applyBorder="1" applyAlignment="1">
      <alignment vertical="center"/>
      <protection/>
    </xf>
    <xf numFmtId="0" fontId="27" fillId="0" borderId="22" xfId="57" applyFont="1" applyFill="1" applyBorder="1" applyAlignment="1">
      <alignment vertical="center"/>
      <protection/>
    </xf>
    <xf numFmtId="0" fontId="25" fillId="0" borderId="36" xfId="57" applyFont="1" applyFill="1" applyBorder="1" applyAlignment="1">
      <alignment vertical="center"/>
      <protection/>
    </xf>
    <xf numFmtId="3" fontId="6" fillId="0" borderId="0" xfId="57" applyNumberFormat="1" applyFont="1" applyAlignment="1">
      <alignment vertical="center"/>
      <protection/>
    </xf>
    <xf numFmtId="10" fontId="1" fillId="0" borderId="55" xfId="57" applyNumberFormat="1" applyFont="1" applyBorder="1">
      <alignment/>
      <protection/>
    </xf>
    <xf numFmtId="0" fontId="12" fillId="1" borderId="24" xfId="58" applyFont="1" applyFill="1" applyBorder="1" applyAlignment="1">
      <alignment horizontal="center" vertical="center"/>
      <protection/>
    </xf>
    <xf numFmtId="0" fontId="12" fillId="1" borderId="12" xfId="58" applyFont="1" applyFill="1" applyBorder="1" applyAlignment="1">
      <alignment horizontal="center" vertical="center"/>
      <protection/>
    </xf>
    <xf numFmtId="3" fontId="68" fillId="0" borderId="42" xfId="57" applyNumberFormat="1" applyFont="1" applyBorder="1" applyAlignment="1">
      <alignment horizontal="center"/>
      <protection/>
    </xf>
    <xf numFmtId="3" fontId="1" fillId="0" borderId="42" xfId="57" applyNumberFormat="1" applyFont="1" applyFill="1" applyBorder="1" applyAlignment="1">
      <alignment horizontal="center"/>
      <protection/>
    </xf>
    <xf numFmtId="10" fontId="1" fillId="0" borderId="43" xfId="57" applyNumberFormat="1" applyFont="1" applyFill="1" applyBorder="1" applyAlignment="1">
      <alignment horizontal="center"/>
      <protection/>
    </xf>
    <xf numFmtId="10" fontId="68" fillId="0" borderId="43" xfId="57" applyNumberFormat="1" applyFont="1" applyBorder="1" applyAlignment="1">
      <alignment horizontal="center"/>
      <protection/>
    </xf>
    <xf numFmtId="0" fontId="68" fillId="0" borderId="48" xfId="57" applyFont="1" applyBorder="1">
      <alignment/>
      <protection/>
    </xf>
    <xf numFmtId="3" fontId="68" fillId="0" borderId="42" xfId="57" applyNumberFormat="1" applyFont="1" applyBorder="1" applyAlignment="1">
      <alignment horizontal="right"/>
      <protection/>
    </xf>
    <xf numFmtId="0" fontId="68" fillId="0" borderId="56" xfId="57" applyFont="1" applyFill="1" applyBorder="1">
      <alignment/>
      <protection/>
    </xf>
    <xf numFmtId="3" fontId="68" fillId="0" borderId="42" xfId="57" applyNumberFormat="1" applyFont="1" applyFill="1" applyBorder="1">
      <alignment/>
      <protection/>
    </xf>
    <xf numFmtId="0" fontId="12" fillId="1" borderId="73" xfId="58" applyFont="1" applyFill="1" applyBorder="1" applyAlignment="1">
      <alignment horizontal="center" vertical="center" wrapText="1"/>
      <protection/>
    </xf>
    <xf numFmtId="0" fontId="12" fillId="1" borderId="73" xfId="58" applyFont="1" applyFill="1" applyBorder="1" applyAlignment="1">
      <alignment horizontal="center" vertical="center"/>
      <protection/>
    </xf>
    <xf numFmtId="3" fontId="6" fillId="0" borderId="23" xfId="0" applyNumberFormat="1" applyFont="1" applyBorder="1" applyAlignment="1">
      <alignment wrapText="1"/>
    </xf>
    <xf numFmtId="3" fontId="11" fillId="0" borderId="48" xfId="58" applyNumberFormat="1" applyFont="1" applyBorder="1">
      <alignment/>
      <protection/>
    </xf>
    <xf numFmtId="167" fontId="51" fillId="0" borderId="75" xfId="0" applyNumberFormat="1" applyFont="1" applyFill="1" applyBorder="1" applyAlignment="1" applyProtection="1">
      <alignment horizontal="center" vertical="center" wrapText="1"/>
      <protection/>
    </xf>
    <xf numFmtId="167" fontId="55" fillId="0" borderId="54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7" fontId="51" fillId="0" borderId="63" xfId="0" applyNumberFormat="1" applyFont="1" applyFill="1" applyBorder="1" applyAlignment="1" applyProtection="1">
      <alignment horizontal="center" vertical="center" wrapText="1"/>
      <protection/>
    </xf>
    <xf numFmtId="10" fontId="7" fillId="0" borderId="23" xfId="0" applyNumberFormat="1" applyFont="1" applyFill="1" applyBorder="1" applyAlignment="1">
      <alignment vertical="center"/>
    </xf>
    <xf numFmtId="10" fontId="7" fillId="0" borderId="26" xfId="0" applyNumberFormat="1" applyFont="1" applyFill="1" applyBorder="1" applyAlignment="1">
      <alignment vertical="center"/>
    </xf>
    <xf numFmtId="3" fontId="16" fillId="33" borderId="63" xfId="58" applyNumberFormat="1" applyFont="1" applyFill="1" applyBorder="1" applyAlignment="1">
      <alignment horizontal="center" vertical="center"/>
      <protection/>
    </xf>
    <xf numFmtId="3" fontId="15" fillId="0" borderId="58" xfId="0" applyNumberFormat="1" applyFont="1" applyFill="1" applyBorder="1" applyAlignment="1">
      <alignment horizontal="right" vertical="center"/>
    </xf>
    <xf numFmtId="3" fontId="15" fillId="0" borderId="61" xfId="0" applyNumberFormat="1" applyFont="1" applyFill="1" applyBorder="1" applyAlignment="1">
      <alignment horizontal="right" vertical="center"/>
    </xf>
    <xf numFmtId="3" fontId="15" fillId="0" borderId="58" xfId="0" applyNumberFormat="1" applyFont="1" applyFill="1" applyBorder="1" applyAlignment="1">
      <alignment vertical="center"/>
    </xf>
    <xf numFmtId="3" fontId="15" fillId="0" borderId="58" xfId="58" applyNumberFormat="1" applyFont="1" applyFill="1" applyBorder="1" applyAlignment="1">
      <alignment vertical="center"/>
      <protection/>
    </xf>
    <xf numFmtId="10" fontId="68" fillId="0" borderId="20" xfId="57" applyNumberFormat="1" applyFont="1" applyBorder="1" applyAlignment="1">
      <alignment horizontal="right"/>
      <protection/>
    </xf>
    <xf numFmtId="10" fontId="68" fillId="0" borderId="14" xfId="57" applyNumberFormat="1" applyFont="1" applyFill="1" applyBorder="1" applyAlignment="1">
      <alignment vertical="center"/>
      <protection/>
    </xf>
    <xf numFmtId="10" fontId="68" fillId="0" borderId="23" xfId="57" applyNumberFormat="1" applyFont="1" applyBorder="1">
      <alignment/>
      <protection/>
    </xf>
    <xf numFmtId="10" fontId="68" fillId="0" borderId="26" xfId="57" applyNumberFormat="1" applyFont="1" applyBorder="1">
      <alignment/>
      <protection/>
    </xf>
    <xf numFmtId="10" fontId="3" fillId="33" borderId="14" xfId="0" applyNumberFormat="1" applyFont="1" applyFill="1" applyBorder="1" applyAlignment="1">
      <alignment horizontal="right" vertical="center" wrapText="1"/>
    </xf>
    <xf numFmtId="10" fontId="7" fillId="0" borderId="23" xfId="0" applyNumberFormat="1" applyFont="1" applyFill="1" applyBorder="1" applyAlignment="1">
      <alignment horizontal="right" vertical="center"/>
    </xf>
    <xf numFmtId="10" fontId="7" fillId="0" borderId="15" xfId="0" applyNumberFormat="1" applyFont="1" applyFill="1" applyBorder="1" applyAlignment="1">
      <alignment horizontal="right" vertical="center"/>
    </xf>
    <xf numFmtId="10" fontId="7" fillId="0" borderId="20" xfId="0" applyNumberFormat="1" applyFont="1" applyFill="1" applyBorder="1" applyAlignment="1">
      <alignment horizontal="right" vertical="center"/>
    </xf>
    <xf numFmtId="3" fontId="3" fillId="0" borderId="46" xfId="0" applyNumberFormat="1" applyFont="1" applyFill="1" applyBorder="1" applyAlignment="1">
      <alignment horizontal="center" vertical="center" wrapText="1"/>
    </xf>
    <xf numFmtId="167" fontId="55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5" xfId="0" applyFill="1" applyBorder="1" applyAlignment="1" applyProtection="1">
      <alignment horizontal="right" vertical="center" wrapText="1" indent="1"/>
      <protection/>
    </xf>
    <xf numFmtId="3" fontId="29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54" xfId="0" applyNumberFormat="1" applyFont="1" applyFill="1" applyBorder="1" applyAlignment="1" applyProtection="1">
      <alignment horizontal="right" vertical="center" wrapText="1" indent="1"/>
      <protection/>
    </xf>
    <xf numFmtId="3" fontId="7" fillId="0" borderId="29" xfId="0" applyNumberFormat="1" applyFont="1" applyFill="1" applyBorder="1" applyAlignment="1">
      <alignment vertical="center"/>
    </xf>
    <xf numFmtId="3" fontId="7" fillId="0" borderId="86" xfId="0" applyNumberFormat="1" applyFont="1" applyBorder="1" applyAlignment="1">
      <alignment vertical="center"/>
    </xf>
    <xf numFmtId="3" fontId="7" fillId="0" borderId="86" xfId="0" applyNumberFormat="1" applyFont="1" applyFill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7" fillId="0" borderId="85" xfId="0" applyNumberFormat="1" applyFont="1" applyBorder="1" applyAlignment="1">
      <alignment vertical="center"/>
    </xf>
    <xf numFmtId="3" fontId="7" fillId="0" borderId="30" xfId="0" applyNumberFormat="1" applyFont="1" applyFill="1" applyBorder="1" applyAlignment="1">
      <alignment vertical="center"/>
    </xf>
    <xf numFmtId="3" fontId="41" fillId="0" borderId="45" xfId="0" applyNumberFormat="1" applyFont="1" applyFill="1" applyBorder="1" applyAlignment="1">
      <alignment vertical="center"/>
    </xf>
    <xf numFmtId="3" fontId="7" fillId="33" borderId="86" xfId="0" applyNumberFormat="1" applyFont="1" applyFill="1" applyBorder="1" applyAlignment="1">
      <alignment horizontal="right" vertical="center" wrapText="1"/>
    </xf>
    <xf numFmtId="3" fontId="7" fillId="33" borderId="88" xfId="0" applyNumberFormat="1" applyFont="1" applyFill="1" applyBorder="1" applyAlignment="1">
      <alignment horizontal="right" vertical="center" wrapText="1"/>
    </xf>
    <xf numFmtId="3" fontId="7" fillId="33" borderId="29" xfId="0" applyNumberFormat="1" applyFont="1" applyFill="1" applyBorder="1" applyAlignment="1">
      <alignment horizontal="right" vertical="center" wrapText="1"/>
    </xf>
    <xf numFmtId="3" fontId="7" fillId="0" borderId="86" xfId="0" applyNumberFormat="1" applyFont="1" applyFill="1" applyBorder="1" applyAlignment="1">
      <alignment horizontal="right" vertical="center"/>
    </xf>
    <xf numFmtId="3" fontId="7" fillId="0" borderId="88" xfId="0" applyNumberFormat="1" applyFont="1" applyFill="1" applyBorder="1" applyAlignment="1">
      <alignment horizontal="right" vertical="center"/>
    </xf>
    <xf numFmtId="3" fontId="7" fillId="0" borderId="29" xfId="0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 vertical="center"/>
    </xf>
    <xf numFmtId="3" fontId="3" fillId="0" borderId="86" xfId="0" applyNumberFormat="1" applyFont="1" applyFill="1" applyBorder="1" applyAlignment="1">
      <alignment vertical="center"/>
    </xf>
    <xf numFmtId="10" fontId="7" fillId="33" borderId="16" xfId="0" applyNumberFormat="1" applyFont="1" applyFill="1" applyBorder="1" applyAlignment="1">
      <alignment horizontal="right" vertical="center" wrapText="1"/>
    </xf>
    <xf numFmtId="3" fontId="78" fillId="0" borderId="63" xfId="60" applyNumberFormat="1" applyFont="1" applyBorder="1" applyAlignment="1">
      <alignment horizontal="center" vertical="center" wrapText="1"/>
      <protection/>
    </xf>
    <xf numFmtId="3" fontId="80" fillId="0" borderId="64" xfId="60" applyNumberFormat="1" applyFont="1" applyFill="1" applyBorder="1" applyAlignment="1">
      <alignment vertical="top"/>
      <protection/>
    </xf>
    <xf numFmtId="3" fontId="80" fillId="0" borderId="58" xfId="60" applyNumberFormat="1" applyFont="1" applyFill="1" applyBorder="1" applyAlignment="1">
      <alignment vertical="top"/>
      <protection/>
    </xf>
    <xf numFmtId="3" fontId="80" fillId="0" borderId="58" xfId="60" applyNumberFormat="1" applyFont="1" applyFill="1" applyBorder="1">
      <alignment/>
      <protection/>
    </xf>
    <xf numFmtId="3" fontId="80" fillId="0" borderId="66" xfId="60" applyNumberFormat="1" applyFont="1" applyFill="1" applyBorder="1">
      <alignment/>
      <protection/>
    </xf>
    <xf numFmtId="3" fontId="33" fillId="0" borderId="58" xfId="58" applyNumberFormat="1" applyFont="1" applyFill="1" applyBorder="1" applyAlignment="1">
      <alignment vertical="center"/>
      <protection/>
    </xf>
    <xf numFmtId="3" fontId="33" fillId="0" borderId="55" xfId="58" applyNumberFormat="1" applyFont="1" applyFill="1" applyBorder="1" applyAlignment="1">
      <alignment horizontal="right" vertical="center" wrapText="1"/>
      <protection/>
    </xf>
    <xf numFmtId="3" fontId="33" fillId="0" borderId="75" xfId="58" applyNumberFormat="1" applyFont="1" applyFill="1" applyBorder="1" applyAlignment="1">
      <alignment horizontal="right" vertical="center" wrapText="1"/>
      <protection/>
    </xf>
    <xf numFmtId="3" fontId="18" fillId="0" borderId="66" xfId="58" applyNumberFormat="1" applyFont="1" applyBorder="1" applyAlignment="1">
      <alignment horizontal="right"/>
      <protection/>
    </xf>
    <xf numFmtId="0" fontId="12" fillId="1" borderId="32" xfId="58" applyFont="1" applyFill="1" applyBorder="1" applyAlignment="1">
      <alignment horizontal="center" vertical="center"/>
      <protection/>
    </xf>
    <xf numFmtId="0" fontId="3" fillId="0" borderId="54" xfId="0" applyFont="1" applyFill="1" applyBorder="1" applyAlignment="1">
      <alignment horizontal="centerContinuous" vertical="center" wrapText="1"/>
    </xf>
    <xf numFmtId="3" fontId="3" fillId="33" borderId="54" xfId="0" applyNumberFormat="1" applyFont="1" applyFill="1" applyBorder="1" applyAlignment="1">
      <alignment horizontal="right" vertical="center" wrapText="1"/>
    </xf>
    <xf numFmtId="0" fontId="79" fillId="0" borderId="84" xfId="0" applyFont="1" applyBorder="1" applyAlignment="1">
      <alignment vertical="center" wrapText="1"/>
    </xf>
    <xf numFmtId="0" fontId="79" fillId="0" borderId="89" xfId="0" applyFont="1" applyBorder="1" applyAlignment="1">
      <alignment horizontal="center" vertical="center" wrapText="1"/>
    </xf>
    <xf numFmtId="3" fontId="33" fillId="0" borderId="89" xfId="58" applyNumberFormat="1" applyFont="1" applyFill="1" applyBorder="1" applyAlignment="1">
      <alignment vertical="center"/>
      <protection/>
    </xf>
    <xf numFmtId="10" fontId="33" fillId="0" borderId="89" xfId="58" applyNumberFormat="1" applyFont="1" applyBorder="1" applyAlignment="1">
      <alignment horizontal="right" vertical="center" wrapText="1"/>
      <protection/>
    </xf>
    <xf numFmtId="3" fontId="11" fillId="0" borderId="90" xfId="58" applyNumberFormat="1" applyBorder="1" applyAlignment="1">
      <alignment vertical="center"/>
      <protection/>
    </xf>
    <xf numFmtId="3" fontId="15" fillId="0" borderId="0" xfId="58" applyNumberFormat="1" applyFont="1">
      <alignment/>
      <protection/>
    </xf>
    <xf numFmtId="167" fontId="51" fillId="0" borderId="34" xfId="0" applyNumberFormat="1" applyFont="1" applyFill="1" applyBorder="1" applyAlignment="1" applyProtection="1">
      <alignment horizontal="center" vertical="center" wrapText="1"/>
      <protection/>
    </xf>
    <xf numFmtId="10" fontId="47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60" xfId="0" applyNumberFormat="1" applyFont="1" applyFill="1" applyBorder="1" applyAlignment="1" applyProtection="1">
      <alignment horizontal="right" vertical="center" wrapText="1" indent="1"/>
      <protection/>
    </xf>
    <xf numFmtId="10" fontId="4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3" fontId="7" fillId="33" borderId="31" xfId="0" applyNumberFormat="1" applyFont="1" applyFill="1" applyBorder="1" applyAlignment="1">
      <alignment horizontal="right" vertical="center" wrapText="1"/>
    </xf>
    <xf numFmtId="3" fontId="7" fillId="33" borderId="59" xfId="0" applyNumberFormat="1" applyFont="1" applyFill="1" applyBorder="1" applyAlignment="1">
      <alignment horizontal="right" vertical="center" wrapText="1"/>
    </xf>
    <xf numFmtId="3" fontId="7" fillId="33" borderId="32" xfId="0" applyNumberFormat="1" applyFont="1" applyFill="1" applyBorder="1" applyAlignment="1">
      <alignment horizontal="right" vertical="center" wrapText="1"/>
    </xf>
    <xf numFmtId="3" fontId="7" fillId="0" borderId="31" xfId="0" applyNumberFormat="1" applyFont="1" applyFill="1" applyBorder="1" applyAlignment="1">
      <alignment horizontal="right" vertical="center"/>
    </xf>
    <xf numFmtId="3" fontId="7" fillId="0" borderId="32" xfId="0" applyNumberFormat="1" applyFont="1" applyFill="1" applyBorder="1" applyAlignment="1">
      <alignment horizontal="right" vertical="center"/>
    </xf>
    <xf numFmtId="3" fontId="7" fillId="0" borderId="34" xfId="0" applyNumberFormat="1" applyFont="1" applyFill="1" applyBorder="1" applyAlignment="1">
      <alignment horizontal="right" vertical="center"/>
    </xf>
    <xf numFmtId="3" fontId="3" fillId="0" borderId="32" xfId="0" applyNumberFormat="1" applyFont="1" applyFill="1" applyBorder="1" applyAlignment="1">
      <alignment horizontal="right" vertical="center"/>
    </xf>
    <xf numFmtId="3" fontId="7" fillId="0" borderId="32" xfId="0" applyNumberFormat="1" applyFont="1" applyFill="1" applyBorder="1" applyAlignment="1">
      <alignment vertical="center"/>
    </xf>
    <xf numFmtId="3" fontId="7" fillId="0" borderId="31" xfId="0" applyNumberFormat="1" applyFont="1" applyFill="1" applyBorder="1" applyAlignment="1">
      <alignment vertical="center"/>
    </xf>
    <xf numFmtId="3" fontId="1" fillId="0" borderId="0" xfId="57" applyNumberFormat="1" applyFill="1">
      <alignment/>
      <protection/>
    </xf>
    <xf numFmtId="10" fontId="11" fillId="0" borderId="12" xfId="58" applyNumberFormat="1" applyBorder="1" applyAlignment="1">
      <alignment vertical="center"/>
      <protection/>
    </xf>
    <xf numFmtId="10" fontId="11" fillId="0" borderId="27" xfId="58" applyNumberFormat="1" applyBorder="1" applyAlignment="1">
      <alignment vertical="center"/>
      <protection/>
    </xf>
    <xf numFmtId="10" fontId="17" fillId="0" borderId="13" xfId="58" applyNumberFormat="1" applyFont="1" applyBorder="1" applyAlignment="1">
      <alignment vertical="center"/>
      <protection/>
    </xf>
    <xf numFmtId="10" fontId="17" fillId="0" borderId="27" xfId="58" applyNumberFormat="1" applyFont="1" applyBorder="1" applyAlignment="1">
      <alignment vertical="center"/>
      <protection/>
    </xf>
    <xf numFmtId="10" fontId="13" fillId="0" borderId="13" xfId="58" applyNumberFormat="1" applyFont="1" applyBorder="1" applyAlignment="1">
      <alignment vertical="center"/>
      <protection/>
    </xf>
    <xf numFmtId="10" fontId="17" fillId="0" borderId="36" xfId="58" applyNumberFormat="1" applyFont="1" applyBorder="1" applyAlignment="1">
      <alignment vertical="center"/>
      <protection/>
    </xf>
    <xf numFmtId="10" fontId="39" fillId="0" borderId="36" xfId="58" applyNumberFormat="1" applyFont="1" applyBorder="1" applyAlignment="1">
      <alignment vertical="center"/>
      <protection/>
    </xf>
    <xf numFmtId="10" fontId="11" fillId="0" borderId="25" xfId="58" applyNumberFormat="1" applyBorder="1" applyAlignment="1">
      <alignment vertical="center"/>
      <protection/>
    </xf>
    <xf numFmtId="10" fontId="11" fillId="0" borderId="22" xfId="58" applyNumberFormat="1" applyBorder="1" applyAlignment="1">
      <alignment vertical="center"/>
      <protection/>
    </xf>
    <xf numFmtId="10" fontId="11" fillId="0" borderId="36" xfId="58" applyNumberFormat="1" applyBorder="1" applyAlignment="1">
      <alignment vertical="center"/>
      <protection/>
    </xf>
    <xf numFmtId="10" fontId="13" fillId="0" borderId="25" xfId="58" applyNumberFormat="1" applyFont="1" applyFill="1" applyBorder="1" applyAlignment="1">
      <alignment vertical="center"/>
      <protection/>
    </xf>
    <xf numFmtId="10" fontId="13" fillId="0" borderId="27" xfId="58" applyNumberFormat="1" applyFont="1" applyBorder="1" applyAlignment="1">
      <alignment vertical="center"/>
      <protection/>
    </xf>
    <xf numFmtId="10" fontId="12" fillId="0" borderId="36" xfId="58" applyNumberFormat="1" applyFont="1" applyBorder="1" applyAlignment="1">
      <alignment vertical="center"/>
      <protection/>
    </xf>
    <xf numFmtId="0" fontId="3" fillId="0" borderId="35" xfId="0" applyFont="1" applyFill="1" applyBorder="1" applyAlignment="1">
      <alignment horizontal="centerContinuous" vertical="center" wrapText="1"/>
    </xf>
    <xf numFmtId="3" fontId="15" fillId="0" borderId="31" xfId="58" applyNumberFormat="1" applyFont="1" applyFill="1" applyBorder="1" applyAlignment="1">
      <alignment vertical="center"/>
      <protection/>
    </xf>
    <xf numFmtId="3" fontId="15" fillId="0" borderId="31" xfId="0" applyNumberFormat="1" applyFont="1" applyFill="1" applyBorder="1" applyAlignment="1">
      <alignment horizontal="right" vertical="center"/>
    </xf>
    <xf numFmtId="3" fontId="15" fillId="0" borderId="58" xfId="58" applyNumberFormat="1" applyFont="1" applyFill="1" applyBorder="1" applyAlignment="1">
      <alignment horizontal="right" vertical="center"/>
      <protection/>
    </xf>
    <xf numFmtId="3" fontId="15" fillId="0" borderId="32" xfId="0" applyNumberFormat="1" applyFont="1" applyFill="1" applyBorder="1" applyAlignment="1">
      <alignment horizontal="right" vertical="center"/>
    </xf>
    <xf numFmtId="3" fontId="15" fillId="0" borderId="31" xfId="58" applyNumberFormat="1" applyFont="1" applyFill="1" applyBorder="1" applyAlignment="1">
      <alignment horizontal="right" vertical="center"/>
      <protection/>
    </xf>
    <xf numFmtId="3" fontId="15" fillId="0" borderId="31" xfId="58" applyNumberFormat="1" applyFont="1" applyBorder="1" applyAlignment="1">
      <alignment vertical="center"/>
      <protection/>
    </xf>
    <xf numFmtId="3" fontId="15" fillId="0" borderId="31" xfId="58" applyNumberFormat="1" applyFont="1" applyFill="1" applyBorder="1" applyAlignment="1">
      <alignment vertical="center"/>
      <protection/>
    </xf>
    <xf numFmtId="3" fontId="15" fillId="0" borderId="31" xfId="0" applyNumberFormat="1" applyFont="1" applyFill="1" applyBorder="1" applyAlignment="1">
      <alignment vertical="center"/>
    </xf>
    <xf numFmtId="3" fontId="16" fillId="33" borderId="39" xfId="58" applyNumberFormat="1" applyFont="1" applyFill="1" applyBorder="1" applyAlignment="1">
      <alignment horizontal="center" vertical="center"/>
      <protection/>
    </xf>
    <xf numFmtId="3" fontId="16" fillId="33" borderId="14" xfId="58" applyNumberFormat="1" applyFont="1" applyFill="1" applyBorder="1" applyAlignment="1">
      <alignment horizontal="center" vertical="center"/>
      <protection/>
    </xf>
    <xf numFmtId="3" fontId="15" fillId="0" borderId="18" xfId="58" applyNumberFormat="1" applyFont="1" applyBorder="1" applyAlignment="1">
      <alignment vertical="center"/>
      <protection/>
    </xf>
    <xf numFmtId="0" fontId="12" fillId="1" borderId="23" xfId="58" applyFont="1" applyFill="1" applyBorder="1" applyAlignment="1">
      <alignment horizontal="center" vertical="center"/>
      <protection/>
    </xf>
    <xf numFmtId="10" fontId="7" fillId="0" borderId="17" xfId="58" applyNumberFormat="1" applyFont="1" applyFill="1" applyBorder="1" applyAlignment="1">
      <alignment horizontal="right" vertical="center"/>
      <protection/>
    </xf>
    <xf numFmtId="10" fontId="7" fillId="0" borderId="25" xfId="58" applyNumberFormat="1" applyFont="1" applyBorder="1" applyAlignment="1">
      <alignment horizontal="right" vertical="center"/>
      <protection/>
    </xf>
    <xf numFmtId="10" fontId="7" fillId="0" borderId="12" xfId="58" applyNumberFormat="1" applyFont="1" applyFill="1" applyBorder="1" applyAlignment="1">
      <alignment horizontal="right" vertical="center"/>
      <protection/>
    </xf>
    <xf numFmtId="10" fontId="3" fillId="0" borderId="13" xfId="58" applyNumberFormat="1" applyFont="1" applyBorder="1" applyAlignment="1">
      <alignment vertical="center"/>
      <protection/>
    </xf>
    <xf numFmtId="3" fontId="80" fillId="0" borderId="47" xfId="60" applyNumberFormat="1" applyFont="1" applyFill="1" applyBorder="1" applyAlignment="1">
      <alignment vertical="top"/>
      <protection/>
    </xf>
    <xf numFmtId="3" fontId="80" fillId="0" borderId="31" xfId="60" applyNumberFormat="1" applyFont="1" applyFill="1" applyBorder="1" applyAlignment="1">
      <alignment vertical="top"/>
      <protection/>
    </xf>
    <xf numFmtId="3" fontId="80" fillId="0" borderId="31" xfId="60" applyNumberFormat="1" applyFont="1" applyFill="1" applyBorder="1">
      <alignment/>
      <protection/>
    </xf>
    <xf numFmtId="3" fontId="80" fillId="0" borderId="59" xfId="60" applyNumberFormat="1" applyFont="1" applyFill="1" applyBorder="1">
      <alignment/>
      <protection/>
    </xf>
    <xf numFmtId="3" fontId="33" fillId="0" borderId="20" xfId="58" applyNumberFormat="1" applyFont="1" applyFill="1" applyBorder="1" applyAlignment="1">
      <alignment vertical="center"/>
      <protection/>
    </xf>
    <xf numFmtId="0" fontId="6" fillId="0" borderId="35" xfId="0" applyFont="1" applyBorder="1" applyAlignment="1">
      <alignment horizontal="center" vertical="center"/>
    </xf>
    <xf numFmtId="10" fontId="0" fillId="0" borderId="20" xfId="0" applyNumberFormat="1" applyBorder="1" applyAlignment="1">
      <alignment/>
    </xf>
    <xf numFmtId="10" fontId="68" fillId="0" borderId="18" xfId="57" applyNumberFormat="1" applyFont="1" applyFill="1" applyBorder="1" applyAlignment="1">
      <alignment vertical="center"/>
      <protection/>
    </xf>
    <xf numFmtId="10" fontId="68" fillId="0" borderId="23" xfId="57" applyNumberFormat="1" applyFont="1" applyFill="1" applyBorder="1" applyAlignment="1">
      <alignment vertical="center"/>
      <protection/>
    </xf>
    <xf numFmtId="10" fontId="74" fillId="0" borderId="15" xfId="57" applyNumberFormat="1" applyFont="1" applyFill="1" applyBorder="1" applyAlignment="1">
      <alignment vertical="center"/>
      <protection/>
    </xf>
    <xf numFmtId="10" fontId="68" fillId="0" borderId="14" xfId="57" applyNumberFormat="1" applyFont="1" applyBorder="1" applyAlignment="1">
      <alignment horizontal="right"/>
      <protection/>
    </xf>
    <xf numFmtId="3" fontId="0" fillId="0" borderId="16" xfId="0" applyNumberFormat="1" applyBorder="1" applyAlignment="1">
      <alignment horizontal="right" vertical="center"/>
    </xf>
    <xf numFmtId="0" fontId="0" fillId="0" borderId="0" xfId="56">
      <alignment/>
      <protection/>
    </xf>
    <xf numFmtId="0" fontId="27" fillId="0" borderId="0" xfId="56" applyFont="1" applyFill="1" applyAlignment="1">
      <alignment horizontal="center" vertical="top" wrapText="1"/>
      <protection/>
    </xf>
    <xf numFmtId="0" fontId="0" fillId="0" borderId="0" xfId="56" applyFill="1">
      <alignment/>
      <protection/>
    </xf>
    <xf numFmtId="0" fontId="27" fillId="0" borderId="23" xfId="56" applyFont="1" applyFill="1" applyBorder="1" applyAlignment="1">
      <alignment horizontal="center" vertical="top" wrapText="1"/>
      <protection/>
    </xf>
    <xf numFmtId="0" fontId="20" fillId="0" borderId="23" xfId="56" applyFont="1" applyFill="1" applyBorder="1" applyAlignment="1">
      <alignment horizontal="left" vertical="top" wrapText="1"/>
      <protection/>
    </xf>
    <xf numFmtId="3" fontId="20" fillId="0" borderId="23" xfId="56" applyNumberFormat="1" applyFont="1" applyFill="1" applyBorder="1" applyAlignment="1">
      <alignment horizontal="right" vertical="top" wrapText="1"/>
      <protection/>
    </xf>
    <xf numFmtId="0" fontId="20" fillId="0" borderId="23" xfId="56" applyFont="1" applyBorder="1" applyAlignment="1">
      <alignment horizontal="left" vertical="top" wrapText="1"/>
      <protection/>
    </xf>
    <xf numFmtId="3" fontId="20" fillId="0" borderId="23" xfId="56" applyNumberFormat="1" applyFont="1" applyBorder="1" applyAlignment="1">
      <alignment horizontal="right" vertical="top" wrapText="1"/>
      <protection/>
    </xf>
    <xf numFmtId="0" fontId="88" fillId="0" borderId="23" xfId="56" applyFont="1" applyBorder="1" applyAlignment="1">
      <alignment horizontal="left" vertical="top" wrapText="1"/>
      <protection/>
    </xf>
    <xf numFmtId="3" fontId="88" fillId="0" borderId="23" xfId="56" applyNumberFormat="1" applyFont="1" applyBorder="1" applyAlignment="1">
      <alignment horizontal="right" vertical="top" wrapText="1"/>
      <protection/>
    </xf>
    <xf numFmtId="0" fontId="50" fillId="0" borderId="0" xfId="56" applyFont="1">
      <alignment/>
      <protection/>
    </xf>
    <xf numFmtId="0" fontId="0" fillId="0" borderId="0" xfId="56" applyFill="1" applyAlignment="1">
      <alignment horizontal="right"/>
      <protection/>
    </xf>
    <xf numFmtId="0" fontId="6" fillId="0" borderId="23" xfId="56" applyFont="1" applyFill="1" applyBorder="1" applyAlignment="1">
      <alignment horizontal="center"/>
      <protection/>
    </xf>
    <xf numFmtId="0" fontId="20" fillId="0" borderId="23" xfId="56" applyFont="1" applyFill="1" applyBorder="1" applyAlignment="1">
      <alignment horizontal="center" vertical="top" wrapText="1"/>
      <protection/>
    </xf>
    <xf numFmtId="0" fontId="20" fillId="0" borderId="23" xfId="56" applyFont="1" applyBorder="1" applyAlignment="1">
      <alignment horizontal="center" vertical="top" wrapText="1"/>
      <protection/>
    </xf>
    <xf numFmtId="0" fontId="88" fillId="0" borderId="23" xfId="56" applyFont="1" applyBorder="1" applyAlignment="1">
      <alignment horizontal="center" vertical="top" wrapText="1"/>
      <protection/>
    </xf>
    <xf numFmtId="0" fontId="6" fillId="0" borderId="0" xfId="56" applyFont="1">
      <alignment/>
      <protection/>
    </xf>
    <xf numFmtId="0" fontId="75" fillId="0" borderId="23" xfId="56" applyFont="1" applyFill="1" applyBorder="1">
      <alignment/>
      <protection/>
    </xf>
    <xf numFmtId="0" fontId="75" fillId="0" borderId="23" xfId="56" applyFont="1" applyFill="1" applyBorder="1" applyAlignment="1">
      <alignment horizontal="center" vertical="top" wrapText="1"/>
      <protection/>
    </xf>
    <xf numFmtId="0" fontId="75" fillId="0" borderId="23" xfId="56" applyFont="1" applyFill="1" applyBorder="1" applyAlignment="1">
      <alignment horizontal="left" vertical="top" wrapText="1"/>
      <protection/>
    </xf>
    <xf numFmtId="3" fontId="75" fillId="0" borderId="23" xfId="56" applyNumberFormat="1" applyFont="1" applyFill="1" applyBorder="1" applyAlignment="1">
      <alignment horizontal="right" vertical="top" wrapText="1"/>
      <protection/>
    </xf>
    <xf numFmtId="0" fontId="73" fillId="0" borderId="23" xfId="56" applyFont="1" applyFill="1" applyBorder="1" applyAlignment="1">
      <alignment horizontal="center" vertical="top" wrapText="1"/>
      <protection/>
    </xf>
    <xf numFmtId="0" fontId="73" fillId="0" borderId="23" xfId="56" applyFont="1" applyFill="1" applyBorder="1" applyAlignment="1">
      <alignment horizontal="left" vertical="top" wrapText="1"/>
      <protection/>
    </xf>
    <xf numFmtId="3" fontId="73" fillId="0" borderId="23" xfId="56" applyNumberFormat="1" applyFont="1" applyFill="1" applyBorder="1" applyAlignment="1">
      <alignment horizontal="right" vertical="top" wrapText="1"/>
      <protection/>
    </xf>
    <xf numFmtId="3" fontId="75" fillId="0" borderId="23" xfId="56" applyNumberFormat="1" applyFont="1" applyFill="1" applyBorder="1" applyAlignment="1">
      <alignment horizontal="center" vertical="top" wrapText="1"/>
      <protection/>
    </xf>
    <xf numFmtId="3" fontId="75" fillId="0" borderId="23" xfId="56" applyNumberFormat="1" applyFont="1" applyFill="1" applyBorder="1">
      <alignment/>
      <protection/>
    </xf>
    <xf numFmtId="0" fontId="72" fillId="0" borderId="32" xfId="56" applyFont="1" applyFill="1" applyBorder="1" applyAlignment="1">
      <alignment horizontal="center" vertical="top" wrapText="1"/>
      <protection/>
    </xf>
    <xf numFmtId="0" fontId="0" fillId="0" borderId="0" xfId="56" applyFill="1" applyAlignment="1">
      <alignment wrapText="1"/>
      <protection/>
    </xf>
    <xf numFmtId="0" fontId="75" fillId="0" borderId="23" xfId="56" applyFont="1" applyFill="1" applyBorder="1" applyAlignment="1">
      <alignment wrapText="1"/>
      <protection/>
    </xf>
    <xf numFmtId="0" fontId="7" fillId="0" borderId="54" xfId="0" applyFont="1" applyFill="1" applyBorder="1" applyAlignment="1">
      <alignment horizontal="center" vertical="center" wrapText="1"/>
    </xf>
    <xf numFmtId="10" fontId="7" fillId="0" borderId="24" xfId="0" applyNumberFormat="1" applyFont="1" applyBorder="1" applyAlignment="1">
      <alignment vertical="center"/>
    </xf>
    <xf numFmtId="10" fontId="7" fillId="0" borderId="16" xfId="0" applyNumberFormat="1" applyFont="1" applyFill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0" fontId="6" fillId="0" borderId="28" xfId="0" applyFont="1" applyBorder="1" applyAlignment="1">
      <alignment/>
    </xf>
    <xf numFmtId="0" fontId="0" fillId="0" borderId="48" xfId="0" applyFont="1" applyBorder="1" applyAlignment="1">
      <alignment/>
    </xf>
    <xf numFmtId="0" fontId="6" fillId="0" borderId="53" xfId="0" applyFont="1" applyBorder="1" applyAlignment="1">
      <alignment/>
    </xf>
    <xf numFmtId="0" fontId="6" fillId="0" borderId="48" xfId="0" applyFont="1" applyBorder="1" applyAlignment="1">
      <alignment/>
    </xf>
    <xf numFmtId="3" fontId="7" fillId="0" borderId="91" xfId="0" applyNumberFormat="1" applyFont="1" applyFill="1" applyBorder="1" applyAlignment="1">
      <alignment horizontal="right" vertical="center"/>
    </xf>
    <xf numFmtId="3" fontId="3" fillId="0" borderId="45" xfId="0" applyNumberFormat="1" applyFont="1" applyFill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3" fontId="3" fillId="0" borderId="45" xfId="0" applyNumberFormat="1" applyFont="1" applyFill="1" applyBorder="1" applyAlignment="1">
      <alignment horizontal="right" vertical="center"/>
    </xf>
    <xf numFmtId="3" fontId="7" fillId="0" borderId="29" xfId="0" applyNumberFormat="1" applyFont="1" applyBorder="1" applyAlignment="1">
      <alignment vertical="center"/>
    </xf>
    <xf numFmtId="3" fontId="3" fillId="0" borderId="50" xfId="0" applyNumberFormat="1" applyFont="1" applyBorder="1" applyAlignment="1">
      <alignment vertical="center"/>
    </xf>
    <xf numFmtId="10" fontId="3" fillId="0" borderId="39" xfId="0" applyNumberFormat="1" applyFont="1" applyFill="1" applyBorder="1" applyAlignment="1">
      <alignment horizontal="centerContinuous" vertical="center" wrapText="1"/>
    </xf>
    <xf numFmtId="10" fontId="7" fillId="0" borderId="53" xfId="0" applyNumberFormat="1" applyFont="1" applyBorder="1" applyAlignment="1">
      <alignment vertical="center"/>
    </xf>
    <xf numFmtId="10" fontId="4" fillId="0" borderId="53" xfId="0" applyNumberFormat="1" applyFont="1" applyBorder="1" applyAlignment="1">
      <alignment vertical="center"/>
    </xf>
    <xf numFmtId="3" fontId="16" fillId="33" borderId="17" xfId="58" applyNumberFormat="1" applyFont="1" applyFill="1" applyBorder="1" applyAlignment="1">
      <alignment horizontal="center" vertical="center"/>
      <protection/>
    </xf>
    <xf numFmtId="3" fontId="16" fillId="33" borderId="18" xfId="58" applyNumberFormat="1" applyFont="1" applyFill="1" applyBorder="1" applyAlignment="1">
      <alignment horizontal="center" vertical="center" wrapText="1"/>
      <protection/>
    </xf>
    <xf numFmtId="3" fontId="16" fillId="33" borderId="18" xfId="58" applyNumberFormat="1" applyFont="1" applyFill="1" applyBorder="1" applyAlignment="1">
      <alignment horizontal="center" vertical="center"/>
      <protection/>
    </xf>
    <xf numFmtId="3" fontId="16" fillId="33" borderId="41" xfId="58" applyNumberFormat="1" applyFont="1" applyFill="1" applyBorder="1" applyAlignment="1">
      <alignment horizontal="center" vertical="center"/>
      <protection/>
    </xf>
    <xf numFmtId="3" fontId="15" fillId="0" borderId="23" xfId="58" applyNumberFormat="1" applyFont="1" applyFill="1" applyBorder="1" applyAlignment="1">
      <alignment vertical="center"/>
      <protection/>
    </xf>
    <xf numFmtId="3" fontId="15" fillId="0" borderId="23" xfId="58" applyNumberFormat="1" applyFont="1" applyFill="1" applyBorder="1" applyAlignment="1">
      <alignment horizontal="right" vertical="center"/>
      <protection/>
    </xf>
    <xf numFmtId="0" fontId="7" fillId="0" borderId="31" xfId="0" applyFont="1" applyFill="1" applyBorder="1" applyAlignment="1">
      <alignment horizontal="left" vertical="center" wrapText="1"/>
    </xf>
    <xf numFmtId="0" fontId="7" fillId="0" borderId="62" xfId="0" applyFont="1" applyFill="1" applyBorder="1" applyAlignment="1">
      <alignment horizontal="left" vertical="center" wrapText="1"/>
    </xf>
    <xf numFmtId="0" fontId="7" fillId="0" borderId="47" xfId="0" applyFont="1" applyBorder="1" applyAlignment="1">
      <alignment horizontal="left" wrapText="1"/>
    </xf>
    <xf numFmtId="0" fontId="7" fillId="0" borderId="68" xfId="0" applyFont="1" applyBorder="1" applyAlignment="1">
      <alignment horizontal="left" wrapText="1"/>
    </xf>
    <xf numFmtId="0" fontId="3" fillId="0" borderId="35" xfId="0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/>
    </xf>
    <xf numFmtId="49" fontId="7" fillId="0" borderId="35" xfId="0" applyNumberFormat="1" applyFont="1" applyBorder="1" applyAlignment="1">
      <alignment horizontal="left" vertical="center"/>
    </xf>
    <xf numFmtId="0" fontId="7" fillId="0" borderId="59" xfId="0" applyFont="1" applyFill="1" applyBorder="1" applyAlignment="1">
      <alignment horizontal="left" vertical="center" wrapText="1"/>
    </xf>
    <xf numFmtId="0" fontId="7" fillId="0" borderId="71" xfId="0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wrapText="1"/>
    </xf>
    <xf numFmtId="0" fontId="7" fillId="0" borderId="31" xfId="0" applyFont="1" applyBorder="1" applyAlignment="1">
      <alignment wrapText="1"/>
    </xf>
    <xf numFmtId="0" fontId="7" fillId="0" borderId="62" xfId="0" applyFont="1" applyBorder="1" applyAlignment="1">
      <alignment wrapText="1"/>
    </xf>
    <xf numFmtId="0" fontId="7" fillId="0" borderId="59" xfId="0" applyFont="1" applyBorder="1" applyAlignment="1">
      <alignment horizontal="left" wrapText="1"/>
    </xf>
    <xf numFmtId="0" fontId="7" fillId="0" borderId="71" xfId="0" applyFont="1" applyBorder="1" applyAlignment="1">
      <alignment horizontal="left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/>
    </xf>
    <xf numFmtId="49" fontId="7" fillId="0" borderId="34" xfId="0" applyNumberFormat="1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/>
    </xf>
    <xf numFmtId="49" fontId="3" fillId="0" borderId="35" xfId="0" applyNumberFormat="1" applyFont="1" applyBorder="1" applyAlignment="1">
      <alignment horizontal="left" vertical="center"/>
    </xf>
    <xf numFmtId="0" fontId="30" fillId="0" borderId="64" xfId="61" applyFont="1" applyFill="1" applyBorder="1" applyAlignment="1" applyProtection="1">
      <alignment horizontal="left" vertical="center" wrapText="1"/>
      <protection/>
    </xf>
    <xf numFmtId="0" fontId="30" fillId="0" borderId="47" xfId="61" applyFont="1" applyFill="1" applyBorder="1" applyAlignment="1" applyProtection="1">
      <alignment horizontal="left" vertical="center" wrapText="1"/>
      <protection/>
    </xf>
    <xf numFmtId="0" fontId="30" fillId="0" borderId="91" xfId="61" applyFont="1" applyFill="1" applyBorder="1" applyAlignment="1" applyProtection="1">
      <alignment horizontal="left" vertical="center" wrapText="1"/>
      <protection/>
    </xf>
    <xf numFmtId="49" fontId="7" fillId="0" borderId="55" xfId="0" applyNumberFormat="1" applyFont="1" applyBorder="1" applyAlignment="1">
      <alignment horizontal="left" vertical="center"/>
    </xf>
    <xf numFmtId="49" fontId="7" fillId="0" borderId="34" xfId="0" applyNumberFormat="1" applyFont="1" applyBorder="1" applyAlignment="1">
      <alignment horizontal="left" vertical="center"/>
    </xf>
    <xf numFmtId="49" fontId="7" fillId="0" borderId="32" xfId="0" applyNumberFormat="1" applyFont="1" applyBorder="1" applyAlignment="1">
      <alignment horizontal="left" vertical="center"/>
    </xf>
    <xf numFmtId="0" fontId="67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7" fontId="44" fillId="0" borderId="0" xfId="61" applyNumberFormat="1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left" vertical="center"/>
    </xf>
    <xf numFmtId="167" fontId="62" fillId="0" borderId="10" xfId="61" applyNumberFormat="1" applyFont="1" applyFill="1" applyBorder="1" applyAlignment="1" applyProtection="1">
      <alignment horizontal="left" vertical="center"/>
      <protection/>
    </xf>
    <xf numFmtId="0" fontId="30" fillId="0" borderId="58" xfId="61" applyFont="1" applyFill="1" applyBorder="1" applyAlignment="1" applyProtection="1">
      <alignment horizontal="left" vertical="center" wrapText="1"/>
      <protection/>
    </xf>
    <xf numFmtId="0" fontId="30" fillId="0" borderId="31" xfId="61" applyFont="1" applyFill="1" applyBorder="1" applyAlignment="1" applyProtection="1">
      <alignment horizontal="left" vertical="center" wrapText="1"/>
      <protection/>
    </xf>
    <xf numFmtId="0" fontId="30" fillId="0" borderId="86" xfId="61" applyFont="1" applyFill="1" applyBorder="1" applyAlignment="1" applyProtection="1">
      <alignment horizontal="left" vertical="center" wrapText="1"/>
      <protection/>
    </xf>
    <xf numFmtId="0" fontId="30" fillId="0" borderId="65" xfId="61" applyFont="1" applyFill="1" applyBorder="1" applyAlignment="1" applyProtection="1">
      <alignment horizontal="left" vertical="center" wrapText="1"/>
      <protection/>
    </xf>
    <xf numFmtId="0" fontId="30" fillId="0" borderId="10" xfId="61" applyFont="1" applyFill="1" applyBorder="1" applyAlignment="1" applyProtection="1">
      <alignment horizontal="left" vertical="center" wrapText="1"/>
      <protection/>
    </xf>
    <xf numFmtId="0" fontId="30" fillId="0" borderId="87" xfId="61" applyFont="1" applyFill="1" applyBorder="1" applyAlignment="1" applyProtection="1">
      <alignment horizontal="left" vertical="center" wrapText="1"/>
      <protection/>
    </xf>
    <xf numFmtId="0" fontId="48" fillId="0" borderId="0" xfId="61" applyFont="1" applyFill="1" applyBorder="1" applyAlignment="1">
      <alignment horizontal="center" wrapText="1"/>
      <protection/>
    </xf>
    <xf numFmtId="0" fontId="48" fillId="0" borderId="0" xfId="61" applyFont="1" applyFill="1" applyAlignment="1">
      <alignment horizontal="center"/>
      <protection/>
    </xf>
    <xf numFmtId="0" fontId="7" fillId="0" borderId="31" xfId="0" applyFont="1" applyBorder="1" applyAlignment="1">
      <alignment horizontal="left" vertical="center" wrapText="1"/>
    </xf>
    <xf numFmtId="0" fontId="45" fillId="0" borderId="15" xfId="61" applyFont="1" applyFill="1" applyBorder="1" applyAlignment="1">
      <alignment horizontal="left"/>
      <protection/>
    </xf>
    <xf numFmtId="0" fontId="30" fillId="0" borderId="66" xfId="61" applyFont="1" applyFill="1" applyBorder="1" applyAlignment="1" applyProtection="1">
      <alignment horizontal="left" vertical="center" wrapText="1"/>
      <protection/>
    </xf>
    <xf numFmtId="0" fontId="30" fillId="0" borderId="59" xfId="61" applyFont="1" applyFill="1" applyBorder="1" applyAlignment="1" applyProtection="1">
      <alignment horizontal="left" vertical="center" wrapText="1"/>
      <protection/>
    </xf>
    <xf numFmtId="0" fontId="30" fillId="0" borderId="88" xfId="61" applyFont="1" applyFill="1" applyBorder="1" applyAlignment="1" applyProtection="1">
      <alignment horizontal="left" vertical="center" wrapText="1"/>
      <protection/>
    </xf>
    <xf numFmtId="0" fontId="28" fillId="0" borderId="18" xfId="61" applyFont="1" applyFill="1" applyBorder="1" applyAlignment="1">
      <alignment horizontal="left"/>
      <protection/>
    </xf>
    <xf numFmtId="0" fontId="30" fillId="0" borderId="23" xfId="61" applyFont="1" applyFill="1" applyBorder="1" applyAlignment="1">
      <alignment horizontal="left"/>
      <protection/>
    </xf>
    <xf numFmtId="0" fontId="45" fillId="0" borderId="23" xfId="61" applyFont="1" applyFill="1" applyBorder="1" applyAlignment="1">
      <alignment horizontal="left"/>
      <protection/>
    </xf>
    <xf numFmtId="0" fontId="48" fillId="0" borderId="0" xfId="61" applyFont="1" applyFill="1" applyAlignment="1">
      <alignment horizontal="center" wrapText="1"/>
      <protection/>
    </xf>
    <xf numFmtId="0" fontId="62" fillId="0" borderId="0" xfId="61" applyFont="1" applyFill="1" applyBorder="1" applyAlignment="1">
      <alignment horizontal="left"/>
      <protection/>
    </xf>
    <xf numFmtId="0" fontId="28" fillId="0" borderId="54" xfId="61" applyFont="1" applyFill="1" applyBorder="1" applyAlignment="1" applyProtection="1">
      <alignment horizontal="left" vertical="center" wrapText="1"/>
      <protection/>
    </xf>
    <xf numFmtId="0" fontId="28" fillId="0" borderId="35" xfId="61" applyFont="1" applyFill="1" applyBorder="1" applyAlignment="1" applyProtection="1">
      <alignment horizontal="left" vertical="center" wrapText="1"/>
      <protection/>
    </xf>
    <xf numFmtId="0" fontId="28" fillId="0" borderId="45" xfId="61" applyFont="1" applyFill="1" applyBorder="1" applyAlignment="1" applyProtection="1">
      <alignment horizontal="left" vertical="center" wrapText="1"/>
      <protection/>
    </xf>
    <xf numFmtId="167" fontId="62" fillId="0" borderId="0" xfId="61" applyNumberFormat="1" applyFont="1" applyFill="1" applyBorder="1" applyAlignment="1" applyProtection="1">
      <alignment horizontal="left" vertical="center"/>
      <protection/>
    </xf>
    <xf numFmtId="0" fontId="10" fillId="0" borderId="0" xfId="58" applyFont="1" applyAlignment="1">
      <alignment horizontal="right" vertical="center"/>
      <protection/>
    </xf>
    <xf numFmtId="0" fontId="22" fillId="0" borderId="0" xfId="58" applyFont="1" applyAlignment="1">
      <alignment horizontal="center" vertical="center"/>
      <protection/>
    </xf>
    <xf numFmtId="0" fontId="23" fillId="0" borderId="10" xfId="58" applyFont="1" applyBorder="1" applyAlignment="1">
      <alignment horizontal="center" vertical="center"/>
      <protection/>
    </xf>
    <xf numFmtId="0" fontId="23" fillId="0" borderId="0" xfId="58" applyFont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right" vertical="center"/>
    </xf>
    <xf numFmtId="0" fontId="7" fillId="0" borderId="32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center" vertical="center" wrapText="1"/>
    </xf>
    <xf numFmtId="167" fontId="64" fillId="0" borderId="0" xfId="0" applyNumberFormat="1" applyFont="1" applyFill="1" applyAlignment="1">
      <alignment horizontal="right" vertical="center" wrapText="1"/>
    </xf>
    <xf numFmtId="0" fontId="51" fillId="0" borderId="11" xfId="0" applyFont="1" applyFill="1" applyBorder="1" applyAlignment="1" applyProtection="1">
      <alignment horizontal="center" vertical="center" wrapText="1"/>
      <protection/>
    </xf>
    <xf numFmtId="0" fontId="51" fillId="0" borderId="45" xfId="0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left" vertical="center" wrapText="1"/>
    </xf>
    <xf numFmtId="0" fontId="51" fillId="0" borderId="54" xfId="0" applyFont="1" applyFill="1" applyBorder="1" applyAlignment="1" applyProtection="1">
      <alignment horizontal="center" vertical="center" wrapText="1"/>
      <protection/>
    </xf>
    <xf numFmtId="0" fontId="51" fillId="0" borderId="35" xfId="0" applyFont="1" applyFill="1" applyBorder="1" applyAlignment="1" applyProtection="1">
      <alignment horizontal="center" vertical="center" wrapText="1"/>
      <protection/>
    </xf>
    <xf numFmtId="0" fontId="51" fillId="0" borderId="13" xfId="0" applyFont="1" applyFill="1" applyBorder="1" applyAlignment="1" applyProtection="1">
      <alignment horizontal="center" vertical="center" wrapText="1"/>
      <protection/>
    </xf>
    <xf numFmtId="0" fontId="51" fillId="0" borderId="14" xfId="0" applyFont="1" applyFill="1" applyBorder="1" applyAlignment="1" applyProtection="1">
      <alignment horizontal="center" vertical="center" wrapText="1"/>
      <protection/>
    </xf>
    <xf numFmtId="0" fontId="51" fillId="0" borderId="39" xfId="0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9" fillId="0" borderId="54" xfId="0" applyFont="1" applyFill="1" applyBorder="1" applyAlignment="1">
      <alignment horizontal="center" vertical="center"/>
    </xf>
    <xf numFmtId="3" fontId="16" fillId="33" borderId="11" xfId="58" applyNumberFormat="1" applyFont="1" applyFill="1" applyBorder="1" applyAlignment="1">
      <alignment horizontal="center" vertical="center"/>
      <protection/>
    </xf>
    <xf numFmtId="3" fontId="16" fillId="33" borderId="35" xfId="58" applyNumberFormat="1" applyFont="1" applyFill="1" applyBorder="1" applyAlignment="1">
      <alignment horizontal="center" vertical="center"/>
      <protection/>
    </xf>
    <xf numFmtId="3" fontId="16" fillId="33" borderId="46" xfId="58" applyNumberFormat="1" applyFont="1" applyFill="1" applyBorder="1" applyAlignment="1">
      <alignment horizontal="center" vertical="center"/>
      <protection/>
    </xf>
    <xf numFmtId="0" fontId="16" fillId="33" borderId="13" xfId="58" applyFont="1" applyFill="1" applyBorder="1" applyAlignment="1">
      <alignment horizontal="center" vertical="center"/>
      <protection/>
    </xf>
    <xf numFmtId="0" fontId="16" fillId="33" borderId="14" xfId="58" applyFont="1" applyFill="1" applyBorder="1" applyAlignment="1">
      <alignment horizontal="center" vertical="center"/>
      <protection/>
    </xf>
    <xf numFmtId="0" fontId="16" fillId="33" borderId="54" xfId="58" applyFont="1" applyFill="1" applyBorder="1" applyAlignment="1">
      <alignment horizontal="center" vertical="center"/>
      <protection/>
    </xf>
    <xf numFmtId="0" fontId="16" fillId="33" borderId="39" xfId="58" applyFont="1" applyFill="1" applyBorder="1" applyAlignment="1">
      <alignment horizontal="center" vertical="center"/>
      <protection/>
    </xf>
    <xf numFmtId="0" fontId="12" fillId="0" borderId="11" xfId="58" applyFont="1" applyBorder="1" applyAlignment="1">
      <alignment horizontal="center" vertical="center"/>
      <protection/>
    </xf>
    <xf numFmtId="0" fontId="12" fillId="0" borderId="45" xfId="58" applyFont="1" applyBorder="1" applyAlignment="1">
      <alignment horizontal="center" vertical="center"/>
      <protection/>
    </xf>
    <xf numFmtId="0" fontId="14" fillId="0" borderId="0" xfId="58" applyFont="1" applyAlignment="1">
      <alignment horizontal="center" vertical="center"/>
      <protection/>
    </xf>
    <xf numFmtId="0" fontId="12" fillId="0" borderId="35" xfId="58" applyFont="1" applyBorder="1" applyAlignment="1">
      <alignment horizontal="center" vertical="center"/>
      <protection/>
    </xf>
    <xf numFmtId="0" fontId="3" fillId="0" borderId="11" xfId="58" applyFont="1" applyFill="1" applyBorder="1" applyAlignment="1">
      <alignment horizontal="center" vertical="center"/>
      <protection/>
    </xf>
    <xf numFmtId="0" fontId="3" fillId="0" borderId="45" xfId="58" applyFont="1" applyFill="1" applyBorder="1" applyAlignment="1">
      <alignment horizontal="center" vertical="center"/>
      <protection/>
    </xf>
    <xf numFmtId="0" fontId="17" fillId="0" borderId="0" xfId="58" applyFont="1" applyAlignment="1">
      <alignment horizontal="center"/>
      <protection/>
    </xf>
    <xf numFmtId="0" fontId="18" fillId="0" borderId="0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0" fontId="81" fillId="0" borderId="35" xfId="60" applyFont="1" applyBorder="1" applyAlignment="1">
      <alignment horizontal="center" vertical="center" wrapText="1"/>
      <protection/>
    </xf>
    <xf numFmtId="0" fontId="79" fillId="0" borderId="31" xfId="60" applyFont="1" applyFill="1" applyBorder="1" applyAlignment="1">
      <alignment horizontal="left"/>
      <protection/>
    </xf>
    <xf numFmtId="0" fontId="79" fillId="0" borderId="58" xfId="60" applyFont="1" applyFill="1" applyBorder="1" applyAlignment="1">
      <alignment horizontal="left" vertical="center" wrapText="1"/>
      <protection/>
    </xf>
    <xf numFmtId="0" fontId="79" fillId="0" borderId="31" xfId="60" applyFont="1" applyFill="1" applyBorder="1" applyAlignment="1">
      <alignment horizontal="left" vertical="center" wrapText="1"/>
      <protection/>
    </xf>
    <xf numFmtId="166" fontId="79" fillId="0" borderId="31" xfId="60" applyNumberFormat="1" applyFont="1" applyBorder="1" applyAlignment="1">
      <alignment horizontal="left" wrapText="1"/>
      <protection/>
    </xf>
    <xf numFmtId="166" fontId="79" fillId="0" borderId="58" xfId="60" applyNumberFormat="1" applyFont="1" applyBorder="1" applyAlignment="1">
      <alignment horizontal="left" wrapText="1"/>
      <protection/>
    </xf>
    <xf numFmtId="166" fontId="79" fillId="0" borderId="66" xfId="60" applyNumberFormat="1" applyFont="1" applyBorder="1" applyAlignment="1">
      <alignment horizontal="left" wrapText="1"/>
      <protection/>
    </xf>
    <xf numFmtId="166" fontId="79" fillId="0" borderId="59" xfId="60" applyNumberFormat="1" applyFont="1" applyBorder="1" applyAlignment="1">
      <alignment horizontal="left" wrapText="1"/>
      <protection/>
    </xf>
    <xf numFmtId="0" fontId="79" fillId="0" borderId="47" xfId="60" applyFont="1" applyFill="1" applyBorder="1" applyAlignment="1">
      <alignment horizontal="left"/>
      <protection/>
    </xf>
    <xf numFmtId="3" fontId="17" fillId="0" borderId="0" xfId="58" applyNumberFormat="1" applyFont="1" applyAlignment="1">
      <alignment horizontal="right"/>
      <protection/>
    </xf>
    <xf numFmtId="0" fontId="76" fillId="0" borderId="0" xfId="58" applyFont="1" applyAlignment="1">
      <alignment horizontal="center"/>
      <protection/>
    </xf>
    <xf numFmtId="0" fontId="77" fillId="0" borderId="0" xfId="58" applyFont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166" fontId="78" fillId="0" borderId="35" xfId="60" applyNumberFormat="1" applyFont="1" applyBorder="1" applyAlignment="1">
      <alignment horizontal="center" vertical="center" wrapText="1"/>
      <protection/>
    </xf>
    <xf numFmtId="3" fontId="78" fillId="0" borderId="13" xfId="60" applyNumberFormat="1" applyFont="1" applyBorder="1" applyAlignment="1">
      <alignment horizontal="center" vertical="center" wrapText="1"/>
      <protection/>
    </xf>
    <xf numFmtId="3" fontId="78" fillId="0" borderId="14" xfId="60" applyNumberFormat="1" applyFont="1" applyBorder="1" applyAlignment="1">
      <alignment horizontal="center" vertical="center" wrapText="1"/>
      <protection/>
    </xf>
    <xf numFmtId="3" fontId="78" fillId="0" borderId="54" xfId="60" applyNumberFormat="1" applyFont="1" applyBorder="1" applyAlignment="1">
      <alignment horizontal="center" vertical="center" wrapText="1"/>
      <protection/>
    </xf>
    <xf numFmtId="3" fontId="78" fillId="0" borderId="39" xfId="60" applyNumberFormat="1" applyFont="1" applyBorder="1" applyAlignment="1">
      <alignment horizontal="center" vertical="center" wrapText="1"/>
      <protection/>
    </xf>
    <xf numFmtId="0" fontId="82" fillId="0" borderId="10" xfId="58" applyFont="1" applyBorder="1" applyAlignment="1">
      <alignment horizontal="center" vertical="center" wrapText="1"/>
      <protection/>
    </xf>
    <xf numFmtId="0" fontId="24" fillId="34" borderId="77" xfId="58" applyFont="1" applyFill="1" applyBorder="1" applyAlignment="1">
      <alignment horizontal="center" vertical="center" wrapText="1"/>
      <protection/>
    </xf>
    <xf numFmtId="0" fontId="24" fillId="34" borderId="21" xfId="58" applyFont="1" applyFill="1" applyBorder="1" applyAlignment="1">
      <alignment horizontal="center" vertical="center" wrapText="1"/>
      <protection/>
    </xf>
    <xf numFmtId="0" fontId="24" fillId="34" borderId="84" xfId="58" applyFont="1" applyFill="1" applyBorder="1" applyAlignment="1">
      <alignment horizontal="center" vertical="center" wrapText="1"/>
      <protection/>
    </xf>
    <xf numFmtId="0" fontId="24" fillId="34" borderId="38" xfId="58" applyFont="1" applyFill="1" applyBorder="1" applyAlignment="1">
      <alignment horizontal="center" vertical="center" wrapText="1"/>
      <protection/>
    </xf>
    <xf numFmtId="0" fontId="24" fillId="34" borderId="28" xfId="58" applyFont="1" applyFill="1" applyBorder="1" applyAlignment="1">
      <alignment horizontal="center" vertical="center" wrapText="1"/>
      <protection/>
    </xf>
    <xf numFmtId="0" fontId="24" fillId="34" borderId="92" xfId="58" applyFont="1" applyFill="1" applyBorder="1" applyAlignment="1">
      <alignment horizontal="center" vertical="center" wrapText="1"/>
      <protection/>
    </xf>
    <xf numFmtId="3" fontId="24" fillId="34" borderId="63" xfId="58" applyNumberFormat="1" applyFont="1" applyFill="1" applyBorder="1" applyAlignment="1">
      <alignment horizontal="center" vertical="center" wrapText="1"/>
      <protection/>
    </xf>
    <xf numFmtId="3" fontId="24" fillId="34" borderId="60" xfId="58" applyNumberFormat="1" applyFont="1" applyFill="1" applyBorder="1" applyAlignment="1">
      <alignment horizontal="center" vertical="center" wrapText="1"/>
      <protection/>
    </xf>
    <xf numFmtId="3" fontId="24" fillId="34" borderId="50" xfId="58" applyNumberFormat="1" applyFont="1" applyFill="1" applyBorder="1" applyAlignment="1">
      <alignment horizontal="center" vertical="center" wrapText="1"/>
      <protection/>
    </xf>
    <xf numFmtId="3" fontId="24" fillId="34" borderId="75" xfId="58" applyNumberFormat="1" applyFont="1" applyFill="1" applyBorder="1" applyAlignment="1">
      <alignment horizontal="center" vertical="center" wrapText="1"/>
      <protection/>
    </xf>
    <xf numFmtId="3" fontId="24" fillId="34" borderId="0" xfId="58" applyNumberFormat="1" applyFont="1" applyFill="1" applyBorder="1" applyAlignment="1">
      <alignment horizontal="center" vertical="center" wrapText="1"/>
      <protection/>
    </xf>
    <xf numFmtId="3" fontId="24" fillId="34" borderId="85" xfId="58" applyNumberFormat="1" applyFont="1" applyFill="1" applyBorder="1" applyAlignment="1">
      <alignment horizontal="center" vertical="center" wrapText="1"/>
      <protection/>
    </xf>
    <xf numFmtId="3" fontId="24" fillId="34" borderId="93" xfId="58" applyNumberFormat="1" applyFont="1" applyFill="1" applyBorder="1" applyAlignment="1">
      <alignment horizontal="center" vertical="center" wrapText="1"/>
      <protection/>
    </xf>
    <xf numFmtId="3" fontId="24" fillId="34" borderId="94" xfId="58" applyNumberFormat="1" applyFont="1" applyFill="1" applyBorder="1" applyAlignment="1">
      <alignment horizontal="center" vertical="center" wrapText="1"/>
      <protection/>
    </xf>
    <xf numFmtId="3" fontId="24" fillId="34" borderId="95" xfId="58" applyNumberFormat="1" applyFont="1" applyFill="1" applyBorder="1" applyAlignment="1">
      <alignment horizontal="center" vertical="center" wrapText="1"/>
      <protection/>
    </xf>
    <xf numFmtId="3" fontId="24" fillId="34" borderId="67" xfId="58" applyNumberFormat="1" applyFont="1" applyFill="1" applyBorder="1" applyAlignment="1">
      <alignment horizontal="center" vertical="center" wrapText="1"/>
      <protection/>
    </xf>
    <xf numFmtId="3" fontId="24" fillId="34" borderId="76" xfId="58" applyNumberFormat="1" applyFont="1" applyFill="1" applyBorder="1" applyAlignment="1">
      <alignment horizontal="center" vertical="center" wrapText="1"/>
      <protection/>
    </xf>
    <xf numFmtId="3" fontId="24" fillId="34" borderId="96" xfId="58" applyNumberFormat="1" applyFont="1" applyFill="1" applyBorder="1" applyAlignment="1">
      <alignment horizontal="center" vertical="center" wrapText="1"/>
      <protection/>
    </xf>
    <xf numFmtId="3" fontId="17" fillId="0" borderId="0" xfId="58" applyNumberFormat="1" applyFont="1" applyAlignment="1">
      <alignment horizontal="right" vertical="center"/>
      <protection/>
    </xf>
    <xf numFmtId="0" fontId="82" fillId="0" borderId="0" xfId="58" applyFont="1" applyAlignment="1">
      <alignment horizontal="center" vertical="center" wrapText="1"/>
      <protection/>
    </xf>
    <xf numFmtId="0" fontId="82" fillId="0" borderId="0" xfId="58" applyFont="1" applyAlignment="1">
      <alignment horizontal="center" vertical="center"/>
      <protection/>
    </xf>
    <xf numFmtId="0" fontId="12" fillId="0" borderId="0" xfId="58" applyFont="1" applyFill="1" applyAlignment="1">
      <alignment horizontal="center" vertical="center"/>
      <protection/>
    </xf>
    <xf numFmtId="0" fontId="80" fillId="0" borderId="0" xfId="58" applyFont="1" applyAlignment="1">
      <alignment horizontal="center" vertical="center"/>
      <protection/>
    </xf>
    <xf numFmtId="0" fontId="12" fillId="1" borderId="23" xfId="58" applyFont="1" applyFill="1" applyBorder="1" applyAlignment="1">
      <alignment horizontal="center" vertical="center"/>
      <protection/>
    </xf>
    <xf numFmtId="0" fontId="12" fillId="1" borderId="58" xfId="58" applyFont="1" applyFill="1" applyBorder="1" applyAlignment="1">
      <alignment horizontal="center" vertical="center"/>
      <protection/>
    </xf>
    <xf numFmtId="0" fontId="12" fillId="1" borderId="24" xfId="58" applyFont="1" applyFill="1" applyBorder="1" applyAlignment="1">
      <alignment horizontal="center" vertical="center"/>
      <protection/>
    </xf>
    <xf numFmtId="0" fontId="14" fillId="0" borderId="0" xfId="58" applyFont="1" applyAlignment="1">
      <alignment horizontal="center" wrapText="1"/>
      <protection/>
    </xf>
    <xf numFmtId="0" fontId="12" fillId="1" borderId="44" xfId="58" applyFont="1" applyFill="1" applyBorder="1" applyAlignment="1">
      <alignment horizontal="center" vertical="center" wrapText="1"/>
      <protection/>
    </xf>
    <xf numFmtId="0" fontId="12" fillId="1" borderId="25" xfId="58" applyFont="1" applyFill="1" applyBorder="1" applyAlignment="1">
      <alignment horizontal="center" vertical="center" wrapText="1"/>
      <protection/>
    </xf>
    <xf numFmtId="0" fontId="12" fillId="1" borderId="64" xfId="58" applyFont="1" applyFill="1" applyBorder="1" applyAlignment="1">
      <alignment horizontal="center" vertical="center"/>
      <protection/>
    </xf>
    <xf numFmtId="0" fontId="12" fillId="1" borderId="47" xfId="58" applyFont="1" applyFill="1" applyBorder="1" applyAlignment="1">
      <alignment horizontal="center" vertical="center"/>
      <protection/>
    </xf>
    <xf numFmtId="0" fontId="12" fillId="1" borderId="17" xfId="58" applyFont="1" applyFill="1" applyBorder="1" applyAlignment="1">
      <alignment horizontal="center" vertical="center"/>
      <protection/>
    </xf>
    <xf numFmtId="0" fontId="12" fillId="1" borderId="18" xfId="58" applyFont="1" applyFill="1" applyBorder="1" applyAlignment="1">
      <alignment horizontal="center" vertical="center"/>
      <protection/>
    </xf>
    <xf numFmtId="0" fontId="12" fillId="1" borderId="41" xfId="58" applyFont="1" applyFill="1" applyBorder="1" applyAlignment="1">
      <alignment horizontal="center" vertical="center"/>
      <protection/>
    </xf>
    <xf numFmtId="0" fontId="12" fillId="1" borderId="31" xfId="58" applyFont="1" applyFill="1" applyBorder="1" applyAlignment="1">
      <alignment horizontal="center" vertical="center"/>
      <protection/>
    </xf>
    <xf numFmtId="0" fontId="12" fillId="1" borderId="86" xfId="58" applyFont="1" applyFill="1" applyBorder="1" applyAlignment="1">
      <alignment horizontal="center" vertical="center"/>
      <protection/>
    </xf>
    <xf numFmtId="0" fontId="12" fillId="1" borderId="12" xfId="58" applyFont="1" applyFill="1" applyBorder="1" applyAlignment="1">
      <alignment horizontal="center" vertical="center"/>
      <protection/>
    </xf>
    <xf numFmtId="0" fontId="19" fillId="0" borderId="0" xfId="58" applyFont="1" applyAlignment="1">
      <alignment horizontal="right"/>
      <protection/>
    </xf>
    <xf numFmtId="0" fontId="22" fillId="0" borderId="0" xfId="58" applyFont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66" fillId="0" borderId="0" xfId="59" applyFont="1" applyAlignment="1">
      <alignment horizontal="right" vertical="center"/>
      <protection/>
    </xf>
    <xf numFmtId="0" fontId="25" fillId="0" borderId="64" xfId="59" applyFont="1" applyFill="1" applyBorder="1" applyAlignment="1">
      <alignment horizontal="center" vertical="center" wrapText="1"/>
      <protection/>
    </xf>
    <xf numFmtId="0" fontId="0" fillId="0" borderId="47" xfId="0" applyBorder="1" applyAlignment="1">
      <alignment/>
    </xf>
    <xf numFmtId="0" fontId="0" fillId="0" borderId="68" xfId="0" applyBorder="1" applyAlignment="1">
      <alignment/>
    </xf>
    <xf numFmtId="0" fontId="35" fillId="0" borderId="0" xfId="59" applyFont="1" applyAlignment="1">
      <alignment horizontal="center" vertical="center"/>
      <protection/>
    </xf>
    <xf numFmtId="16" fontId="35" fillId="0" borderId="0" xfId="59" applyNumberFormat="1" applyFont="1" applyBorder="1" applyAlignment="1">
      <alignment horizontal="center" vertical="center" wrapText="1"/>
      <protection/>
    </xf>
    <xf numFmtId="0" fontId="25" fillId="0" borderId="77" xfId="59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>
      <alignment horizontal="left" vertical="center"/>
      <protection/>
    </xf>
    <xf numFmtId="0" fontId="25" fillId="0" borderId="35" xfId="59" applyFont="1" applyBorder="1" applyAlignment="1">
      <alignment horizontal="left" vertical="center"/>
      <protection/>
    </xf>
    <xf numFmtId="0" fontId="25" fillId="0" borderId="45" xfId="59" applyFont="1" applyBorder="1" applyAlignment="1">
      <alignment horizontal="left" vertical="center"/>
      <protection/>
    </xf>
    <xf numFmtId="1" fontId="36" fillId="0" borderId="11" xfId="59" applyNumberFormat="1" applyFont="1" applyBorder="1" applyAlignment="1">
      <alignment horizontal="center" vertical="center" wrapText="1"/>
      <protection/>
    </xf>
    <xf numFmtId="1" fontId="36" fillId="0" borderId="35" xfId="59" applyNumberFormat="1" applyFont="1" applyBorder="1" applyAlignment="1">
      <alignment horizontal="center" vertical="center" wrapText="1"/>
      <protection/>
    </xf>
    <xf numFmtId="1" fontId="36" fillId="0" borderId="46" xfId="59" applyNumberFormat="1" applyFont="1" applyBorder="1" applyAlignment="1">
      <alignment horizontal="center" vertical="center" wrapText="1"/>
      <protection/>
    </xf>
    <xf numFmtId="0" fontId="37" fillId="0" borderId="0" xfId="59" applyFont="1" applyAlignment="1">
      <alignment horizontal="center" vertical="center"/>
      <protection/>
    </xf>
    <xf numFmtId="0" fontId="25" fillId="0" borderId="44" xfId="59" applyFont="1" applyBorder="1" applyAlignment="1">
      <alignment horizontal="center" vertical="center" wrapText="1"/>
      <protection/>
    </xf>
    <xf numFmtId="0" fontId="25" fillId="0" borderId="36" xfId="59" applyFont="1" applyBorder="1" applyAlignment="1">
      <alignment horizontal="center" vertical="center" wrapText="1"/>
      <protection/>
    </xf>
    <xf numFmtId="0" fontId="37" fillId="0" borderId="17" xfId="59" applyFont="1" applyBorder="1" applyAlignment="1">
      <alignment horizontal="center" vertical="center" wrapText="1"/>
      <protection/>
    </xf>
    <xf numFmtId="0" fontId="37" fillId="0" borderId="41" xfId="59" applyFont="1" applyBorder="1" applyAlignment="1">
      <alignment horizontal="center" vertical="center" wrapText="1"/>
      <protection/>
    </xf>
    <xf numFmtId="0" fontId="27" fillId="0" borderId="0" xfId="56" applyFont="1" applyFill="1" applyAlignment="1">
      <alignment horizontal="center" vertical="top" wrapText="1"/>
      <protection/>
    </xf>
    <xf numFmtId="0" fontId="50" fillId="0" borderId="0" xfId="56" applyFont="1" applyFill="1" applyAlignment="1">
      <alignment horizontal="right"/>
      <protection/>
    </xf>
    <xf numFmtId="0" fontId="75" fillId="0" borderId="23" xfId="56" applyFont="1" applyFill="1" applyBorder="1" applyAlignment="1">
      <alignment horizontal="center"/>
      <protection/>
    </xf>
    <xf numFmtId="0" fontId="72" fillId="0" borderId="32" xfId="56" applyFont="1" applyFill="1" applyBorder="1" applyAlignment="1">
      <alignment horizontal="center" vertical="top" wrapText="1"/>
      <protection/>
    </xf>
    <xf numFmtId="0" fontId="89" fillId="0" borderId="31" xfId="56" applyFont="1" applyFill="1" applyBorder="1" applyAlignment="1">
      <alignment horizontal="right" vertical="top" wrapText="1"/>
      <protection/>
    </xf>
    <xf numFmtId="3" fontId="0" fillId="0" borderId="24" xfId="0" applyNumberForma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54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5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0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3" fontId="0" fillId="0" borderId="26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10" fontId="68" fillId="0" borderId="49" xfId="57" applyNumberFormat="1" applyFont="1" applyFill="1" applyBorder="1" applyAlignment="1">
      <alignment horizontal="center" vertical="center"/>
      <protection/>
    </xf>
    <xf numFmtId="10" fontId="68" fillId="0" borderId="53" xfId="57" applyNumberFormat="1" applyFont="1" applyFill="1" applyBorder="1" applyAlignment="1">
      <alignment horizontal="center" vertical="center"/>
      <protection/>
    </xf>
    <xf numFmtId="10" fontId="68" fillId="0" borderId="49" xfId="57" applyNumberFormat="1" applyFont="1" applyBorder="1" applyAlignment="1">
      <alignment horizontal="center"/>
      <protection/>
    </xf>
    <xf numFmtId="10" fontId="68" fillId="0" borderId="53" xfId="57" applyNumberFormat="1" applyFont="1" applyBorder="1" applyAlignment="1">
      <alignment horizontal="center"/>
      <protection/>
    </xf>
    <xf numFmtId="10" fontId="68" fillId="0" borderId="43" xfId="57" applyNumberFormat="1" applyFont="1" applyBorder="1" applyAlignment="1">
      <alignment horizontal="center"/>
      <protection/>
    </xf>
    <xf numFmtId="10" fontId="1" fillId="0" borderId="26" xfId="57" applyNumberFormat="1" applyFont="1" applyBorder="1" applyAlignment="1">
      <alignment horizontal="center"/>
      <protection/>
    </xf>
    <xf numFmtId="10" fontId="1" fillId="0" borderId="28" xfId="57" applyNumberFormat="1" applyFont="1" applyBorder="1" applyAlignment="1">
      <alignment horizontal="center"/>
      <protection/>
    </xf>
    <xf numFmtId="10" fontId="1" fillId="0" borderId="42" xfId="57" applyNumberFormat="1" applyFont="1" applyBorder="1" applyAlignment="1">
      <alignment horizontal="center"/>
      <protection/>
    </xf>
    <xf numFmtId="10" fontId="68" fillId="0" borderId="38" xfId="57" applyNumberFormat="1" applyFont="1" applyBorder="1" applyAlignment="1">
      <alignment horizontal="center"/>
      <protection/>
    </xf>
    <xf numFmtId="10" fontId="68" fillId="0" borderId="42" xfId="57" applyNumberFormat="1" applyFont="1" applyBorder="1" applyAlignment="1">
      <alignment horizontal="center"/>
      <protection/>
    </xf>
    <xf numFmtId="10" fontId="68" fillId="0" borderId="38" xfId="57" applyNumberFormat="1" applyFont="1" applyFill="1" applyBorder="1" applyAlignment="1">
      <alignment horizontal="center"/>
      <protection/>
    </xf>
    <xf numFmtId="10" fontId="68" fillId="0" borderId="28" xfId="57" applyNumberFormat="1" applyFont="1" applyFill="1" applyBorder="1" applyAlignment="1">
      <alignment horizontal="center"/>
      <protection/>
    </xf>
    <xf numFmtId="10" fontId="68" fillId="0" borderId="42" xfId="57" applyNumberFormat="1" applyFont="1" applyFill="1" applyBorder="1" applyAlignment="1">
      <alignment horizontal="center"/>
      <protection/>
    </xf>
    <xf numFmtId="0" fontId="24" fillId="0" borderId="0" xfId="57" applyFont="1" applyFill="1" applyBorder="1" applyAlignment="1" applyProtection="1">
      <alignment horizontal="center" vertical="center" wrapText="1"/>
      <protection/>
    </xf>
    <xf numFmtId="0" fontId="71" fillId="0" borderId="0" xfId="57" applyFont="1" applyFill="1" applyAlignment="1">
      <alignment horizontal="right" vertical="center"/>
      <protection/>
    </xf>
    <xf numFmtId="3" fontId="68" fillId="0" borderId="38" xfId="57" applyNumberFormat="1" applyFont="1" applyBorder="1" applyAlignment="1">
      <alignment horizontal="center"/>
      <protection/>
    </xf>
    <xf numFmtId="3" fontId="68" fillId="0" borderId="28" xfId="57" applyNumberFormat="1" applyFont="1" applyBorder="1" applyAlignment="1">
      <alignment horizontal="center"/>
      <protection/>
    </xf>
    <xf numFmtId="3" fontId="68" fillId="0" borderId="42" xfId="57" applyNumberFormat="1" applyFont="1" applyBorder="1" applyAlignment="1">
      <alignment horizontal="center"/>
      <protection/>
    </xf>
    <xf numFmtId="3" fontId="1" fillId="0" borderId="26" xfId="57" applyNumberFormat="1" applyFont="1" applyFill="1" applyBorder="1" applyAlignment="1">
      <alignment horizontal="center"/>
      <protection/>
    </xf>
    <xf numFmtId="3" fontId="1" fillId="0" borderId="28" xfId="57" applyNumberFormat="1" applyFont="1" applyFill="1" applyBorder="1" applyAlignment="1">
      <alignment horizontal="center"/>
      <protection/>
    </xf>
    <xf numFmtId="3" fontId="1" fillId="0" borderId="42" xfId="57" applyNumberFormat="1" applyFont="1" applyFill="1" applyBorder="1" applyAlignment="1">
      <alignment horizontal="center"/>
      <protection/>
    </xf>
    <xf numFmtId="10" fontId="1" fillId="0" borderId="52" xfId="57" applyNumberFormat="1" applyFont="1" applyFill="1" applyBorder="1" applyAlignment="1">
      <alignment horizontal="center"/>
      <protection/>
    </xf>
    <xf numFmtId="10" fontId="1" fillId="0" borderId="53" xfId="57" applyNumberFormat="1" applyFont="1" applyFill="1" applyBorder="1" applyAlignment="1">
      <alignment horizontal="center"/>
      <protection/>
    </xf>
    <xf numFmtId="10" fontId="1" fillId="0" borderId="43" xfId="57" applyNumberFormat="1" applyFont="1" applyFill="1" applyBorder="1" applyAlignment="1">
      <alignment horizontal="center"/>
      <protection/>
    </xf>
    <xf numFmtId="3" fontId="68" fillId="0" borderId="38" xfId="57" applyNumberFormat="1" applyFont="1" applyFill="1" applyBorder="1" applyAlignment="1">
      <alignment horizontal="center" vertical="center"/>
      <protection/>
    </xf>
    <xf numFmtId="3" fontId="68" fillId="0" borderId="28" xfId="57" applyNumberFormat="1" applyFont="1" applyFill="1" applyBorder="1" applyAlignment="1">
      <alignment horizontal="center" vertical="center"/>
      <protection/>
    </xf>
    <xf numFmtId="3" fontId="10" fillId="0" borderId="0" xfId="57" applyNumberFormat="1" applyFont="1" applyAlignment="1">
      <alignment horizontal="center" vertical="center"/>
      <protection/>
    </xf>
    <xf numFmtId="3" fontId="76" fillId="0" borderId="0" xfId="57" applyNumberFormat="1" applyFont="1" applyAlignment="1">
      <alignment horizontal="center" vertical="center"/>
      <protection/>
    </xf>
    <xf numFmtId="0" fontId="86" fillId="0" borderId="0" xfId="57" applyNumberFormat="1" applyFont="1" applyAlignment="1">
      <alignment horizontal="center" vertical="center"/>
      <protection/>
    </xf>
    <xf numFmtId="3" fontId="86" fillId="0" borderId="0" xfId="57" applyNumberFormat="1" applyFont="1" applyAlignment="1">
      <alignment horizontal="center" vertical="center"/>
      <protection/>
    </xf>
    <xf numFmtId="3" fontId="87" fillId="0" borderId="44" xfId="57" applyNumberFormat="1" applyFont="1" applyFill="1" applyBorder="1" applyAlignment="1">
      <alignment horizontal="center" vertical="center" wrapText="1"/>
      <protection/>
    </xf>
    <xf numFmtId="3" fontId="87" fillId="0" borderId="36" xfId="57" applyNumberFormat="1" applyFont="1" applyFill="1" applyBorder="1" applyAlignment="1">
      <alignment horizontal="center" vertical="center" wrapText="1"/>
      <protection/>
    </xf>
    <xf numFmtId="3" fontId="87" fillId="0" borderId="18" xfId="57" applyNumberFormat="1" applyFont="1" applyFill="1" applyBorder="1" applyAlignment="1">
      <alignment horizontal="center" vertical="center"/>
      <protection/>
    </xf>
    <xf numFmtId="3" fontId="87" fillId="0" borderId="91" xfId="57" applyNumberFormat="1" applyFont="1" applyFill="1" applyBorder="1" applyAlignment="1">
      <alignment horizontal="center" vertical="center"/>
      <protection/>
    </xf>
    <xf numFmtId="3" fontId="87" fillId="0" borderId="41" xfId="57" applyNumberFormat="1" applyFont="1" applyFill="1" applyBorder="1" applyAlignment="1">
      <alignment horizontal="center" vertical="center"/>
      <protection/>
    </xf>
    <xf numFmtId="3" fontId="86" fillId="0" borderId="0" xfId="57" applyNumberFormat="1" applyFont="1" applyFill="1" applyBorder="1" applyAlignment="1">
      <alignment horizontal="center" vertical="center"/>
      <protection/>
    </xf>
    <xf numFmtId="0" fontId="88" fillId="0" borderId="17" xfId="57" applyFont="1" applyFill="1" applyBorder="1" applyAlignment="1">
      <alignment horizontal="center" vertical="center" wrapText="1"/>
      <protection/>
    </xf>
    <xf numFmtId="0" fontId="88" fillId="0" borderId="22" xfId="57" applyFont="1" applyFill="1" applyBorder="1" applyAlignment="1">
      <alignment horizontal="center" vertical="center" wrapText="1"/>
      <protection/>
    </xf>
    <xf numFmtId="0" fontId="88" fillId="0" borderId="63" xfId="57" applyFont="1" applyFill="1" applyBorder="1" applyAlignment="1">
      <alignment horizontal="center" vertical="center" wrapText="1"/>
      <protection/>
    </xf>
    <xf numFmtId="0" fontId="88" fillId="0" borderId="67" xfId="57" applyFont="1" applyFill="1" applyBorder="1" applyAlignment="1">
      <alignment horizontal="center" vertical="center" wrapText="1"/>
      <protection/>
    </xf>
    <xf numFmtId="0" fontId="88" fillId="0" borderId="65" xfId="57" applyFont="1" applyFill="1" applyBorder="1" applyAlignment="1">
      <alignment horizontal="center" vertical="center" wrapText="1"/>
      <protection/>
    </xf>
    <xf numFmtId="0" fontId="88" fillId="0" borderId="69" xfId="57" applyFont="1" applyFill="1" applyBorder="1" applyAlignment="1">
      <alignment horizontal="center" vertical="center" wrapText="1"/>
      <protection/>
    </xf>
    <xf numFmtId="3" fontId="27" fillId="0" borderId="61" xfId="57" applyNumberFormat="1" applyFont="1" applyFill="1" applyBorder="1" applyAlignment="1">
      <alignment horizontal="right" vertical="center"/>
      <protection/>
    </xf>
    <xf numFmtId="3" fontId="27" fillId="0" borderId="70" xfId="57" applyNumberFormat="1" applyFont="1" applyFill="1" applyBorder="1" applyAlignment="1">
      <alignment horizontal="right" vertical="center"/>
      <protection/>
    </xf>
    <xf numFmtId="3" fontId="27" fillId="0" borderId="66" xfId="57" applyNumberFormat="1" applyFont="1" applyFill="1" applyBorder="1" applyAlignment="1">
      <alignment horizontal="right" vertical="center"/>
      <protection/>
    </xf>
    <xf numFmtId="3" fontId="27" fillId="0" borderId="71" xfId="57" applyNumberFormat="1" applyFont="1" applyFill="1" applyBorder="1" applyAlignment="1">
      <alignment horizontal="right" vertical="center"/>
      <protection/>
    </xf>
    <xf numFmtId="3" fontId="25" fillId="0" borderId="65" xfId="57" applyNumberFormat="1" applyFont="1" applyFill="1" applyBorder="1" applyAlignment="1">
      <alignment horizontal="right" vertical="center"/>
      <protection/>
    </xf>
    <xf numFmtId="3" fontId="25" fillId="0" borderId="69" xfId="57" applyNumberFormat="1" applyFont="1" applyFill="1" applyBorder="1" applyAlignment="1">
      <alignment horizontal="right" vertical="center"/>
      <protection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3" fontId="7" fillId="0" borderId="75" xfId="0" applyNumberFormat="1" applyFont="1" applyFill="1" applyBorder="1" applyAlignment="1">
      <alignment horizontal="right" vertical="center"/>
    </xf>
    <xf numFmtId="10" fontId="7" fillId="0" borderId="41" xfId="0" applyNumberFormat="1" applyFont="1" applyFill="1" applyBorder="1" applyAlignment="1">
      <alignment horizontal="right" vertical="center"/>
    </xf>
    <xf numFmtId="3" fontId="104" fillId="0" borderId="20" xfId="57" applyNumberFormat="1" applyFont="1" applyBorder="1" applyAlignment="1">
      <alignment horizontal="right"/>
      <protection/>
    </xf>
    <xf numFmtId="3" fontId="105" fillId="0" borderId="23" xfId="57" applyNumberFormat="1" applyFont="1" applyBorder="1" applyAlignment="1">
      <alignment horizontal="right"/>
      <protection/>
    </xf>
    <xf numFmtId="3" fontId="104" fillId="0" borderId="23" xfId="57" applyNumberFormat="1" applyFont="1" applyBorder="1" applyAlignment="1">
      <alignment horizontal="right"/>
      <protection/>
    </xf>
    <xf numFmtId="3" fontId="104" fillId="0" borderId="15" xfId="57" applyNumberFormat="1" applyFont="1" applyBorder="1" applyAlignment="1">
      <alignment horizontal="right"/>
      <protection/>
    </xf>
    <xf numFmtId="3" fontId="104" fillId="0" borderId="42" xfId="57" applyNumberFormat="1" applyFont="1" applyBorder="1" applyAlignment="1">
      <alignment horizontal="right"/>
      <protection/>
    </xf>
    <xf numFmtId="3" fontId="104" fillId="0" borderId="14" xfId="57" applyNumberFormat="1" applyFont="1" applyBorder="1" applyAlignment="1">
      <alignment horizontal="right" vertical="center"/>
      <protection/>
    </xf>
    <xf numFmtId="3" fontId="104" fillId="0" borderId="14" xfId="57" applyNumberFormat="1" applyFont="1" applyFill="1" applyBorder="1" applyAlignment="1">
      <alignment vertical="center"/>
      <protection/>
    </xf>
    <xf numFmtId="3" fontId="104" fillId="0" borderId="20" xfId="57" applyNumberFormat="1" applyFont="1" applyFill="1" applyBorder="1">
      <alignment/>
      <protection/>
    </xf>
    <xf numFmtId="3" fontId="105" fillId="0" borderId="23" xfId="57" applyNumberFormat="1" applyFont="1" applyFill="1" applyBorder="1">
      <alignment/>
      <protection/>
    </xf>
    <xf numFmtId="3" fontId="104" fillId="0" borderId="23" xfId="57" applyNumberFormat="1" applyFont="1" applyFill="1" applyBorder="1">
      <alignment/>
      <protection/>
    </xf>
    <xf numFmtId="3" fontId="104" fillId="0" borderId="15" xfId="57" applyNumberFormat="1" applyFont="1" applyFill="1" applyBorder="1">
      <alignment/>
      <protection/>
    </xf>
    <xf numFmtId="3" fontId="104" fillId="0" borderId="42" xfId="57" applyNumberFormat="1" applyFont="1" applyFill="1" applyBorder="1">
      <alignment/>
      <protection/>
    </xf>
    <xf numFmtId="3" fontId="104" fillId="0" borderId="14" xfId="57" applyNumberFormat="1" applyFont="1" applyFill="1" applyBorder="1">
      <alignment/>
      <protection/>
    </xf>
    <xf numFmtId="3" fontId="104" fillId="0" borderId="23" xfId="57" applyNumberFormat="1" applyFont="1" applyBorder="1">
      <alignment/>
      <protection/>
    </xf>
    <xf numFmtId="3" fontId="104" fillId="0" borderId="26" xfId="57" applyNumberFormat="1" applyFont="1" applyBorder="1">
      <alignment/>
      <protection/>
    </xf>
    <xf numFmtId="3" fontId="106" fillId="0" borderId="15" xfId="57" applyNumberFormat="1" applyFont="1" applyBorder="1" applyAlignment="1">
      <alignment vertical="center"/>
      <protection/>
    </xf>
    <xf numFmtId="10" fontId="72" fillId="0" borderId="39" xfId="60" applyNumberFormat="1" applyFont="1" applyFill="1" applyBorder="1" applyAlignment="1">
      <alignment vertical="center"/>
      <protection/>
    </xf>
    <xf numFmtId="1" fontId="36" fillId="0" borderId="39" xfId="59" applyNumberFormat="1" applyFont="1" applyBorder="1" applyAlignment="1">
      <alignment horizontal="center" vertical="center"/>
      <protection/>
    </xf>
    <xf numFmtId="10" fontId="0" fillId="0" borderId="15" xfId="0" applyNumberFormat="1" applyBorder="1" applyAlignment="1">
      <alignment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_-_II_Tajekoztato_tablak" xfId="57"/>
    <cellStyle name="Normál_2007. év költségvetés terv 1.mellékletek" xfId="58"/>
    <cellStyle name="Normál_2008. év költségvetés terv 1. sz. melléklet" xfId="59"/>
    <cellStyle name="Normál_Dologi kiadás" xfId="60"/>
    <cellStyle name="Normál_KVRENMUNKA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1"/>
  <sheetViews>
    <sheetView zoomScale="70" zoomScaleNormal="70" zoomScalePageLayoutView="0" workbookViewId="0" topLeftCell="A52">
      <selection activeCell="D66" sqref="D66"/>
    </sheetView>
  </sheetViews>
  <sheetFormatPr defaultColWidth="9.140625" defaultRowHeight="12.75"/>
  <cols>
    <col min="1" max="2" width="5.7109375" style="101" customWidth="1"/>
    <col min="3" max="3" width="8.8515625" style="101" customWidth="1"/>
    <col min="4" max="4" width="56.00390625" style="20" bestFit="1" customWidth="1"/>
    <col min="5" max="5" width="17.28125" style="340" customWidth="1"/>
    <col min="6" max="6" width="13.00390625" style="340" hidden="1" customWidth="1"/>
    <col min="7" max="9" width="11.57421875" style="340" hidden="1" customWidth="1"/>
    <col min="10" max="11" width="11.57421875" style="340" customWidth="1"/>
    <col min="12" max="12" width="12.7109375" style="340" customWidth="1"/>
    <col min="13" max="13" width="11.57421875" style="341" customWidth="1"/>
    <col min="14" max="18" width="11.57421875" style="341" hidden="1" customWidth="1"/>
    <col min="19" max="20" width="11.57421875" style="341" customWidth="1"/>
    <col min="21" max="21" width="13.7109375" style="341" customWidth="1"/>
    <col min="22" max="22" width="11.57421875" style="342" customWidth="1"/>
    <col min="23" max="25" width="11.57421875" style="341" hidden="1" customWidth="1"/>
    <col min="26" max="26" width="11.57421875" style="342" hidden="1" customWidth="1"/>
    <col min="27" max="28" width="11.57421875" style="342" customWidth="1"/>
    <col min="29" max="29" width="12.7109375" style="342" customWidth="1"/>
    <col min="30" max="30" width="9.28125" style="342" bestFit="1" customWidth="1"/>
    <col min="31" max="16384" width="9.140625" style="342" customWidth="1"/>
  </cols>
  <sheetData>
    <row r="1" spans="1:22" ht="12.75">
      <c r="A1" s="98"/>
      <c r="B1" s="98"/>
      <c r="C1" s="98"/>
      <c r="D1" s="99"/>
      <c r="V1" s="58" t="s">
        <v>463</v>
      </c>
    </row>
    <row r="2" spans="1:25" s="344" customFormat="1" ht="34.5" customHeight="1">
      <c r="A2" s="1124" t="s">
        <v>504</v>
      </c>
      <c r="B2" s="1124"/>
      <c r="C2" s="1124"/>
      <c r="D2" s="1124"/>
      <c r="E2" s="1124"/>
      <c r="F2" s="1124"/>
      <c r="G2" s="1124"/>
      <c r="H2" s="1124"/>
      <c r="I2" s="1124"/>
      <c r="J2" s="1124"/>
      <c r="K2" s="1124"/>
      <c r="L2" s="1124"/>
      <c r="M2" s="1124"/>
      <c r="N2" s="1124"/>
      <c r="O2" s="1124"/>
      <c r="P2" s="1124"/>
      <c r="Q2" s="1124"/>
      <c r="R2" s="1124"/>
      <c r="S2" s="1124"/>
      <c r="T2" s="1124"/>
      <c r="U2" s="1124"/>
      <c r="V2" s="1124"/>
      <c r="W2" s="256"/>
      <c r="X2" s="343"/>
      <c r="Y2" s="343"/>
    </row>
    <row r="3" spans="1:22" ht="13.5" thickBot="1">
      <c r="A3" s="100"/>
      <c r="B3" s="100"/>
      <c r="C3" s="100"/>
      <c r="D3" s="96"/>
      <c r="M3" s="82"/>
      <c r="N3" s="82"/>
      <c r="O3" s="82"/>
      <c r="P3" s="82"/>
      <c r="Q3" s="82"/>
      <c r="R3" s="82"/>
      <c r="S3" s="82"/>
      <c r="T3" s="82"/>
      <c r="U3" s="82"/>
      <c r="V3" s="43" t="s">
        <v>2</v>
      </c>
    </row>
    <row r="4" spans="1:30" ht="45.75" customHeight="1" thickBot="1">
      <c r="A4" s="1125" t="s">
        <v>6</v>
      </c>
      <c r="B4" s="1126"/>
      <c r="C4" s="1126"/>
      <c r="D4" s="345" t="s">
        <v>9</v>
      </c>
      <c r="E4" s="1121" t="s">
        <v>5</v>
      </c>
      <c r="F4" s="1122"/>
      <c r="G4" s="1122"/>
      <c r="H4" s="1122"/>
      <c r="I4" s="1122"/>
      <c r="J4" s="1122"/>
      <c r="K4" s="1122"/>
      <c r="L4" s="1123"/>
      <c r="M4" s="1127" t="s">
        <v>67</v>
      </c>
      <c r="N4" s="1128"/>
      <c r="O4" s="1128"/>
      <c r="P4" s="1128"/>
      <c r="Q4" s="1128"/>
      <c r="R4" s="1128"/>
      <c r="S4" s="1129"/>
      <c r="T4" s="1129"/>
      <c r="U4" s="1130"/>
      <c r="V4" s="1120" t="s">
        <v>68</v>
      </c>
      <c r="W4" s="1120"/>
      <c r="X4" s="1120"/>
      <c r="Y4" s="1120"/>
      <c r="Z4" s="1120"/>
      <c r="AA4" s="1120"/>
      <c r="AB4" s="1120"/>
      <c r="AC4" s="1120"/>
      <c r="AD4" s="1082"/>
    </row>
    <row r="5" spans="1:30" ht="45.75" customHeight="1" thickBot="1">
      <c r="A5" s="322"/>
      <c r="B5" s="323"/>
      <c r="C5" s="323"/>
      <c r="D5" s="345"/>
      <c r="E5" s="380" t="s">
        <v>71</v>
      </c>
      <c r="F5" s="381" t="s">
        <v>244</v>
      </c>
      <c r="G5" s="381" t="s">
        <v>249</v>
      </c>
      <c r="H5" s="381" t="s">
        <v>252</v>
      </c>
      <c r="I5" s="381" t="s">
        <v>537</v>
      </c>
      <c r="J5" s="381" t="s">
        <v>549</v>
      </c>
      <c r="K5" s="381" t="s">
        <v>254</v>
      </c>
      <c r="L5" s="1076" t="s">
        <v>255</v>
      </c>
      <c r="M5" s="380" t="s">
        <v>71</v>
      </c>
      <c r="N5" s="381" t="s">
        <v>244</v>
      </c>
      <c r="O5" s="381" t="s">
        <v>249</v>
      </c>
      <c r="P5" s="381" t="s">
        <v>252</v>
      </c>
      <c r="Q5" s="381"/>
      <c r="R5" s="381" t="s">
        <v>537</v>
      </c>
      <c r="S5" s="381" t="s">
        <v>549</v>
      </c>
      <c r="T5" s="381" t="s">
        <v>254</v>
      </c>
      <c r="U5" s="1076" t="s">
        <v>255</v>
      </c>
      <c r="V5" s="380" t="s">
        <v>71</v>
      </c>
      <c r="W5" s="381" t="s">
        <v>244</v>
      </c>
      <c r="X5" s="381" t="s">
        <v>249</v>
      </c>
      <c r="Y5" s="381" t="s">
        <v>252</v>
      </c>
      <c r="Z5" s="381" t="s">
        <v>537</v>
      </c>
      <c r="AA5" s="381" t="s">
        <v>549</v>
      </c>
      <c r="AB5" s="381" t="s">
        <v>254</v>
      </c>
      <c r="AC5" s="382" t="s">
        <v>255</v>
      </c>
      <c r="AD5" s="1082"/>
    </row>
    <row r="6" spans="1:30" s="7" customFormat="1" ht="21.75" customHeight="1" thickBot="1">
      <c r="A6" s="111"/>
      <c r="B6" s="1104"/>
      <c r="C6" s="1104"/>
      <c r="D6" s="1104"/>
      <c r="E6" s="383"/>
      <c r="F6" s="297"/>
      <c r="G6" s="297"/>
      <c r="H6" s="297"/>
      <c r="I6" s="297"/>
      <c r="J6" s="297"/>
      <c r="K6" s="297"/>
      <c r="L6" s="983"/>
      <c r="M6" s="383"/>
      <c r="N6" s="297"/>
      <c r="O6" s="297"/>
      <c r="P6" s="297"/>
      <c r="Q6" s="297"/>
      <c r="R6" s="297"/>
      <c r="S6" s="297"/>
      <c r="T6" s="297"/>
      <c r="U6" s="818"/>
      <c r="V6" s="383"/>
      <c r="W6" s="297"/>
      <c r="X6" s="297"/>
      <c r="Y6" s="297"/>
      <c r="Z6" s="297"/>
      <c r="AA6" s="297"/>
      <c r="AB6" s="1081"/>
      <c r="AC6" s="1083"/>
      <c r="AD6" s="1084"/>
    </row>
    <row r="7" spans="1:29" s="7" customFormat="1" ht="21.75" customHeight="1" thickBot="1">
      <c r="A7" s="111" t="s">
        <v>30</v>
      </c>
      <c r="B7" s="1104" t="s">
        <v>311</v>
      </c>
      <c r="C7" s="1104"/>
      <c r="D7" s="1104"/>
      <c r="E7" s="383">
        <f aca="true" t="shared" si="0" ref="E7:P7">E8+E13+E16+E17+E20</f>
        <v>122044</v>
      </c>
      <c r="F7" s="297">
        <f t="shared" si="0"/>
        <v>122044</v>
      </c>
      <c r="G7" s="297">
        <f t="shared" si="0"/>
        <v>122044</v>
      </c>
      <c r="H7" s="297">
        <f t="shared" si="0"/>
        <v>123344</v>
      </c>
      <c r="I7" s="297">
        <f t="shared" si="0"/>
        <v>150156</v>
      </c>
      <c r="J7" s="297">
        <f t="shared" si="0"/>
        <v>199145</v>
      </c>
      <c r="K7" s="297">
        <f>K8+K13+K16+K17+K20</f>
        <v>192047</v>
      </c>
      <c r="L7" s="819">
        <f>K7/J7</f>
        <v>0.964357628863391</v>
      </c>
      <c r="M7" s="383">
        <f t="shared" si="0"/>
        <v>101209</v>
      </c>
      <c r="N7" s="297">
        <f t="shared" si="0"/>
        <v>101209</v>
      </c>
      <c r="O7" s="297">
        <f t="shared" si="0"/>
        <v>101139</v>
      </c>
      <c r="P7" s="297">
        <f t="shared" si="0"/>
        <v>102439</v>
      </c>
      <c r="Q7" s="297"/>
      <c r="R7" s="297">
        <f>R8+R13+R16+R17+R20</f>
        <v>129251</v>
      </c>
      <c r="S7" s="297">
        <f>S8+S13+S16+S17+S20</f>
        <v>178924</v>
      </c>
      <c r="T7" s="297">
        <f>T8+T13+T16+T17+T20</f>
        <v>175201</v>
      </c>
      <c r="U7" s="819">
        <f>T7/S7</f>
        <v>0.9791922827569247</v>
      </c>
      <c r="V7" s="383">
        <f aca="true" t="shared" si="1" ref="V7:AA7">V8+V13+V16+V17+V20</f>
        <v>20835</v>
      </c>
      <c r="W7" s="297">
        <f t="shared" si="1"/>
        <v>20835</v>
      </c>
      <c r="X7" s="297">
        <f t="shared" si="1"/>
        <v>20905</v>
      </c>
      <c r="Y7" s="297">
        <f t="shared" si="1"/>
        <v>20905</v>
      </c>
      <c r="Z7" s="297">
        <f t="shared" si="1"/>
        <v>20905</v>
      </c>
      <c r="AA7" s="297">
        <f t="shared" si="1"/>
        <v>20221</v>
      </c>
      <c r="AB7" s="297">
        <f>AB8+AB13+AB16+AB17+AB20</f>
        <v>16846</v>
      </c>
      <c r="AC7" s="819">
        <f>AB7/AA7</f>
        <v>0.8330943078977301</v>
      </c>
    </row>
    <row r="8" spans="1:29" ht="21.75" customHeight="1">
      <c r="A8" s="656"/>
      <c r="B8" s="258" t="s">
        <v>39</v>
      </c>
      <c r="C8" s="1131" t="s">
        <v>312</v>
      </c>
      <c r="D8" s="1131"/>
      <c r="E8" s="481">
        <f aca="true" t="shared" si="2" ref="E8:P8">SUM(E9:E12)</f>
        <v>18200</v>
      </c>
      <c r="F8" s="482">
        <f t="shared" si="2"/>
        <v>18200</v>
      </c>
      <c r="G8" s="482">
        <f t="shared" si="2"/>
        <v>18200</v>
      </c>
      <c r="H8" s="482">
        <f t="shared" si="2"/>
        <v>18200</v>
      </c>
      <c r="I8" s="482">
        <f t="shared" si="2"/>
        <v>18353</v>
      </c>
      <c r="J8" s="482">
        <f t="shared" si="2"/>
        <v>18861</v>
      </c>
      <c r="K8" s="482">
        <f>SUM(K9:K12)</f>
        <v>18501</v>
      </c>
      <c r="L8" s="820">
        <f aca="true" t="shared" si="3" ref="L8:L62">K8/J8</f>
        <v>0.9809129950691904</v>
      </c>
      <c r="M8" s="481">
        <f t="shared" si="2"/>
        <v>18200</v>
      </c>
      <c r="N8" s="482">
        <f t="shared" si="2"/>
        <v>18200</v>
      </c>
      <c r="O8" s="482">
        <f t="shared" si="2"/>
        <v>18200</v>
      </c>
      <c r="P8" s="482">
        <f t="shared" si="2"/>
        <v>18200</v>
      </c>
      <c r="Q8" s="482"/>
      <c r="R8" s="482">
        <f>SUM(R9:R12)</f>
        <v>18353</v>
      </c>
      <c r="S8" s="482">
        <f>SUM(S9:S12)</f>
        <v>18861</v>
      </c>
      <c r="T8" s="482">
        <f>SUM(T9:T12)</f>
        <v>18501</v>
      </c>
      <c r="U8" s="820">
        <f aca="true" t="shared" si="4" ref="U8:U62">T8/S8</f>
        <v>0.9809129950691904</v>
      </c>
      <c r="V8" s="481"/>
      <c r="W8" s="482"/>
      <c r="X8" s="482"/>
      <c r="Y8" s="482"/>
      <c r="Z8" s="482"/>
      <c r="AA8" s="482"/>
      <c r="AB8" s="482"/>
      <c r="AC8" s="820"/>
    </row>
    <row r="9" spans="1:29" ht="21.75" customHeight="1">
      <c r="A9" s="108"/>
      <c r="B9" s="104"/>
      <c r="C9" s="104" t="s">
        <v>317</v>
      </c>
      <c r="D9" s="346" t="s">
        <v>313</v>
      </c>
      <c r="E9" s="385">
        <f>'3.sz.m Önk  bev.'!E9</f>
        <v>0</v>
      </c>
      <c r="F9" s="299">
        <f>'3.sz.m Önk  bev.'!F9</f>
        <v>0</v>
      </c>
      <c r="G9" s="299">
        <f>'3.sz.m Önk  bev.'!G9</f>
        <v>0</v>
      </c>
      <c r="H9" s="299">
        <f>'3.sz.m Önk  bev.'!H9</f>
        <v>0</v>
      </c>
      <c r="I9" s="299">
        <f>'3.sz.m Önk  bev.'!I9</f>
        <v>0</v>
      </c>
      <c r="J9" s="299">
        <f>'3.sz.m Önk  bev.'!J9</f>
        <v>0</v>
      </c>
      <c r="K9" s="299">
        <f>'3.sz.m Önk  bev.'!K9</f>
        <v>0</v>
      </c>
      <c r="L9" s="821"/>
      <c r="M9" s="385">
        <f>'3.sz.m Önk  bev.'!M9</f>
        <v>0</v>
      </c>
      <c r="N9" s="299">
        <f>'3.sz.m Önk  bev.'!N9</f>
        <v>0</v>
      </c>
      <c r="O9" s="299">
        <f>'3.sz.m Önk  bev.'!O9</f>
        <v>0</v>
      </c>
      <c r="P9" s="299">
        <f>'3.sz.m Önk  bev.'!P9</f>
        <v>0</v>
      </c>
      <c r="Q9" s="299"/>
      <c r="R9" s="299">
        <f>'3.sz.m Önk  bev.'!Q9</f>
        <v>0</v>
      </c>
      <c r="S9" s="299">
        <f>'3.sz.m Önk  bev.'!R9</f>
        <v>0</v>
      </c>
      <c r="T9" s="299">
        <f>'3.sz.m Önk  bev.'!S9</f>
        <v>0</v>
      </c>
      <c r="U9" s="821"/>
      <c r="V9" s="385"/>
      <c r="W9" s="299"/>
      <c r="X9" s="299"/>
      <c r="Y9" s="299"/>
      <c r="Z9" s="299"/>
      <c r="AA9" s="299"/>
      <c r="AB9" s="299"/>
      <c r="AC9" s="821"/>
    </row>
    <row r="10" spans="1:29" ht="21.75" customHeight="1">
      <c r="A10" s="108"/>
      <c r="B10" s="104"/>
      <c r="C10" s="104" t="s">
        <v>318</v>
      </c>
      <c r="D10" s="346" t="s">
        <v>296</v>
      </c>
      <c r="E10" s="385">
        <f>'3.sz.m Önk  bev.'!E10</f>
        <v>0</v>
      </c>
      <c r="F10" s="299">
        <f>'3.sz.m Önk  bev.'!F10</f>
        <v>0</v>
      </c>
      <c r="G10" s="299">
        <f>'3.sz.m Önk  bev.'!G10</f>
        <v>0</v>
      </c>
      <c r="H10" s="299">
        <f>'3.sz.m Önk  bev.'!H10</f>
        <v>0</v>
      </c>
      <c r="I10" s="299">
        <f>'3.sz.m Önk  bev.'!I10</f>
        <v>0</v>
      </c>
      <c r="J10" s="299">
        <f>'3.sz.m Önk  bev.'!J10</f>
        <v>0</v>
      </c>
      <c r="K10" s="299">
        <f>'3.sz.m Önk  bev.'!K10</f>
        <v>0</v>
      </c>
      <c r="L10" s="821"/>
      <c r="M10" s="385">
        <f>'3.sz.m Önk  bev.'!M10</f>
        <v>0</v>
      </c>
      <c r="N10" s="299">
        <f>'3.sz.m Önk  bev.'!N10</f>
        <v>0</v>
      </c>
      <c r="O10" s="299">
        <f>'3.sz.m Önk  bev.'!O10</f>
        <v>0</v>
      </c>
      <c r="P10" s="299">
        <f>'3.sz.m Önk  bev.'!P10</f>
        <v>0</v>
      </c>
      <c r="Q10" s="299"/>
      <c r="R10" s="299">
        <f>'3.sz.m Önk  bev.'!Q10</f>
        <v>0</v>
      </c>
      <c r="S10" s="299">
        <f>'3.sz.m Önk  bev.'!R10</f>
        <v>0</v>
      </c>
      <c r="T10" s="299">
        <f>'3.sz.m Önk  bev.'!S10</f>
        <v>0</v>
      </c>
      <c r="U10" s="821"/>
      <c r="V10" s="385"/>
      <c r="W10" s="299"/>
      <c r="X10" s="299"/>
      <c r="Y10" s="299"/>
      <c r="Z10" s="299"/>
      <c r="AA10" s="299"/>
      <c r="AB10" s="299"/>
      <c r="AC10" s="821"/>
    </row>
    <row r="11" spans="1:29" ht="21.75" customHeight="1">
      <c r="A11" s="108"/>
      <c r="B11" s="104"/>
      <c r="C11" s="104" t="s">
        <v>319</v>
      </c>
      <c r="D11" s="346" t="s">
        <v>295</v>
      </c>
      <c r="E11" s="385">
        <f>'3.sz.m Önk  bev.'!E11</f>
        <v>18200</v>
      </c>
      <c r="F11" s="299">
        <f>'3.sz.m Önk  bev.'!F11</f>
        <v>18200</v>
      </c>
      <c r="G11" s="299">
        <f>'3.sz.m Önk  bev.'!G11</f>
        <v>18200</v>
      </c>
      <c r="H11" s="299">
        <f>'3.sz.m Önk  bev.'!H11</f>
        <v>18200</v>
      </c>
      <c r="I11" s="299">
        <f>'3.sz.m Önk  bev.'!I11</f>
        <v>18353</v>
      </c>
      <c r="J11" s="299">
        <f>'3.sz.m Önk  bev.'!J11</f>
        <v>18861</v>
      </c>
      <c r="K11" s="299">
        <f>'3.sz.m Önk  bev.'!K11</f>
        <v>18501</v>
      </c>
      <c r="L11" s="821">
        <f t="shared" si="3"/>
        <v>0.9809129950691904</v>
      </c>
      <c r="M11" s="385">
        <f>'3.sz.m Önk  bev.'!M11</f>
        <v>18200</v>
      </c>
      <c r="N11" s="299">
        <f>'3.sz.m Önk  bev.'!N11</f>
        <v>18200</v>
      </c>
      <c r="O11" s="299">
        <f>'3.sz.m Önk  bev.'!O11</f>
        <v>18200</v>
      </c>
      <c r="P11" s="299">
        <f>'3.sz.m Önk  bev.'!P11</f>
        <v>18200</v>
      </c>
      <c r="Q11" s="299"/>
      <c r="R11" s="299">
        <f>'3.sz.m Önk  bev.'!Q11</f>
        <v>18353</v>
      </c>
      <c r="S11" s="299">
        <f>'3.sz.m Önk  bev.'!R11</f>
        <v>18861</v>
      </c>
      <c r="T11" s="299">
        <f>'3.sz.m Önk  bev.'!S11</f>
        <v>18501</v>
      </c>
      <c r="U11" s="821">
        <f t="shared" si="4"/>
        <v>0.9809129950691904</v>
      </c>
      <c r="V11" s="385"/>
      <c r="W11" s="299"/>
      <c r="X11" s="299"/>
      <c r="Y11" s="299"/>
      <c r="Z11" s="299"/>
      <c r="AA11" s="299"/>
      <c r="AB11" s="299"/>
      <c r="AC11" s="821"/>
    </row>
    <row r="12" spans="1:37" ht="21.75" customHeight="1" hidden="1">
      <c r="A12" s="108"/>
      <c r="B12" s="104"/>
      <c r="C12" s="104"/>
      <c r="D12" s="346"/>
      <c r="E12" s="385"/>
      <c r="F12" s="299"/>
      <c r="G12" s="299"/>
      <c r="H12" s="299"/>
      <c r="I12" s="299"/>
      <c r="J12" s="299"/>
      <c r="K12" s="299"/>
      <c r="L12" s="821" t="e">
        <f t="shared" si="3"/>
        <v>#DIV/0!</v>
      </c>
      <c r="M12" s="385"/>
      <c r="N12" s="299"/>
      <c r="O12" s="299"/>
      <c r="P12" s="299"/>
      <c r="Q12" s="299"/>
      <c r="R12" s="299"/>
      <c r="S12" s="299"/>
      <c r="T12" s="299"/>
      <c r="U12" s="821" t="e">
        <f t="shared" si="4"/>
        <v>#DIV/0!</v>
      </c>
      <c r="V12" s="385"/>
      <c r="W12" s="299"/>
      <c r="X12" s="299"/>
      <c r="Y12" s="299"/>
      <c r="Z12" s="299"/>
      <c r="AA12" s="299"/>
      <c r="AB12" s="299"/>
      <c r="AC12" s="821" t="e">
        <f>AB12/AA12</f>
        <v>#DIV/0!</v>
      </c>
      <c r="AK12" s="342" t="s">
        <v>265</v>
      </c>
    </row>
    <row r="13" spans="1:29" ht="21.75" customHeight="1">
      <c r="A13" s="108"/>
      <c r="B13" s="104" t="s">
        <v>40</v>
      </c>
      <c r="C13" s="1115" t="s">
        <v>314</v>
      </c>
      <c r="D13" s="1115"/>
      <c r="E13" s="385">
        <f aca="true" t="shared" si="5" ref="E13:P13">SUM(E14:E15)</f>
        <v>90000</v>
      </c>
      <c r="F13" s="299">
        <f t="shared" si="5"/>
        <v>90000</v>
      </c>
      <c r="G13" s="299">
        <f t="shared" si="5"/>
        <v>90000</v>
      </c>
      <c r="H13" s="299">
        <f t="shared" si="5"/>
        <v>90000</v>
      </c>
      <c r="I13" s="299">
        <f t="shared" si="5"/>
        <v>115686</v>
      </c>
      <c r="J13" s="299">
        <f t="shared" si="5"/>
        <v>159824</v>
      </c>
      <c r="K13" s="299">
        <f>SUM(K14:K15)</f>
        <v>155351</v>
      </c>
      <c r="L13" s="821">
        <f t="shared" si="3"/>
        <v>0.9720129642606867</v>
      </c>
      <c r="M13" s="385">
        <f t="shared" si="5"/>
        <v>69165</v>
      </c>
      <c r="N13" s="299">
        <f t="shared" si="5"/>
        <v>69165</v>
      </c>
      <c r="O13" s="299">
        <f t="shared" si="5"/>
        <v>69095</v>
      </c>
      <c r="P13" s="299">
        <f t="shared" si="5"/>
        <v>69095</v>
      </c>
      <c r="Q13" s="299"/>
      <c r="R13" s="299">
        <f>SUM(R14:R15)</f>
        <v>94781</v>
      </c>
      <c r="S13" s="299">
        <f>SUM(S14:S15)</f>
        <v>139603</v>
      </c>
      <c r="T13" s="299">
        <f>SUM(T14:T15)</f>
        <v>138505</v>
      </c>
      <c r="U13" s="821">
        <f t="shared" si="4"/>
        <v>0.9921348395091796</v>
      </c>
      <c r="V13" s="385">
        <v>20835</v>
      </c>
      <c r="W13" s="299">
        <f aca="true" t="shared" si="6" ref="W13:AB13">SUM(W14:W15)</f>
        <v>20835</v>
      </c>
      <c r="X13" s="299">
        <f t="shared" si="6"/>
        <v>20905</v>
      </c>
      <c r="Y13" s="299">
        <f t="shared" si="6"/>
        <v>20905</v>
      </c>
      <c r="Z13" s="299">
        <f t="shared" si="6"/>
        <v>20905</v>
      </c>
      <c r="AA13" s="299">
        <f t="shared" si="6"/>
        <v>20221</v>
      </c>
      <c r="AB13" s="299">
        <f t="shared" si="6"/>
        <v>16846</v>
      </c>
      <c r="AC13" s="821">
        <f>AB13/AA13</f>
        <v>0.8330943078977301</v>
      </c>
    </row>
    <row r="14" spans="1:29" ht="21.75" customHeight="1">
      <c r="A14" s="108"/>
      <c r="B14" s="104"/>
      <c r="C14" s="104" t="s">
        <v>315</v>
      </c>
      <c r="D14" s="599" t="s">
        <v>320</v>
      </c>
      <c r="E14" s="385">
        <f>'3.sz.m Önk  bev.'!E14</f>
        <v>90000</v>
      </c>
      <c r="F14" s="299">
        <f>'3.sz.m Önk  bev.'!F14</f>
        <v>90000</v>
      </c>
      <c r="G14" s="299">
        <f>'3.sz.m Önk  bev.'!G14</f>
        <v>90000</v>
      </c>
      <c r="H14" s="299">
        <f>'3.sz.m Önk  bev.'!H14</f>
        <v>90000</v>
      </c>
      <c r="I14" s="299">
        <f>'3.sz.m Önk  bev.'!I14</f>
        <v>115686</v>
      </c>
      <c r="J14" s="299">
        <f>'3.sz.m Önk  bev.'!J14</f>
        <v>159824</v>
      </c>
      <c r="K14" s="299">
        <f>'3.sz.m Önk  bev.'!K14</f>
        <v>155351</v>
      </c>
      <c r="L14" s="821">
        <f t="shared" si="3"/>
        <v>0.9720129642606867</v>
      </c>
      <c r="M14" s="385">
        <f>'3.sz.m Önk  bev.'!M14</f>
        <v>69165</v>
      </c>
      <c r="N14" s="299">
        <f>'3.sz.m Önk  bev.'!N14</f>
        <v>69165</v>
      </c>
      <c r="O14" s="299">
        <f>'3.sz.m Önk  bev.'!O14</f>
        <v>69095</v>
      </c>
      <c r="P14" s="299">
        <f>'3.sz.m Önk  bev.'!P14</f>
        <v>69095</v>
      </c>
      <c r="Q14" s="299"/>
      <c r="R14" s="299">
        <f>'3.sz.m Önk  bev.'!Q14</f>
        <v>94781</v>
      </c>
      <c r="S14" s="299">
        <f>'3.sz.m Önk  bev.'!R14</f>
        <v>139603</v>
      </c>
      <c r="T14" s="299">
        <f>'3.sz.m Önk  bev.'!S14</f>
        <v>138505</v>
      </c>
      <c r="U14" s="821">
        <f t="shared" si="4"/>
        <v>0.9921348395091796</v>
      </c>
      <c r="V14" s="385">
        <f>'3.sz.m Önk  bev.'!U14</f>
        <v>20835</v>
      </c>
      <c r="W14" s="299">
        <f>'3.sz.m Önk  bev.'!V14</f>
        <v>20835</v>
      </c>
      <c r="X14" s="299">
        <f>'3.sz.m Önk  bev.'!W14</f>
        <v>20905</v>
      </c>
      <c r="Y14" s="299">
        <f>'3.sz.m Önk  bev.'!X14</f>
        <v>20905</v>
      </c>
      <c r="Z14" s="299">
        <f>'3.sz.m Önk  bev.'!Y14</f>
        <v>20905</v>
      </c>
      <c r="AA14" s="299">
        <f>'3.sz.m Önk  bev.'!Z14</f>
        <v>20221</v>
      </c>
      <c r="AB14" s="299">
        <f>'3.sz.m Önk  bev.'!AA14</f>
        <v>16846</v>
      </c>
      <c r="AC14" s="821">
        <f>AB14/AA14</f>
        <v>0.8330943078977301</v>
      </c>
    </row>
    <row r="15" spans="1:29" ht="21.75" customHeight="1">
      <c r="A15" s="108"/>
      <c r="B15" s="104"/>
      <c r="C15" s="104" t="s">
        <v>316</v>
      </c>
      <c r="D15" s="599" t="s">
        <v>321</v>
      </c>
      <c r="E15" s="385">
        <f>'3.sz.m Önk  bev.'!E15</f>
        <v>0</v>
      </c>
      <c r="F15" s="299">
        <f>'3.sz.m Önk  bev.'!F15</f>
        <v>0</v>
      </c>
      <c r="G15" s="299">
        <f>'3.sz.m Önk  bev.'!G15</f>
        <v>0</v>
      </c>
      <c r="H15" s="299">
        <f>'3.sz.m Önk  bev.'!H15</f>
        <v>0</v>
      </c>
      <c r="I15" s="299">
        <f>'3.sz.m Önk  bev.'!I15</f>
        <v>0</v>
      </c>
      <c r="J15" s="299">
        <f>'3.sz.m Önk  bev.'!J15</f>
        <v>0</v>
      </c>
      <c r="K15" s="299">
        <f>'3.sz.m Önk  bev.'!K15</f>
        <v>0</v>
      </c>
      <c r="L15" s="821"/>
      <c r="M15" s="385">
        <f>'3.sz.m Önk  bev.'!M15</f>
        <v>0</v>
      </c>
      <c r="N15" s="299">
        <f>'3.sz.m Önk  bev.'!N15</f>
        <v>0</v>
      </c>
      <c r="O15" s="299">
        <f>'3.sz.m Önk  bev.'!O15</f>
        <v>0</v>
      </c>
      <c r="P15" s="299">
        <f>'3.sz.m Önk  bev.'!P15</f>
        <v>0</v>
      </c>
      <c r="Q15" s="299"/>
      <c r="R15" s="299">
        <f>'3.sz.m Önk  bev.'!Q15</f>
        <v>0</v>
      </c>
      <c r="S15" s="299">
        <f>'3.sz.m Önk  bev.'!R15</f>
        <v>0</v>
      </c>
      <c r="T15" s="299">
        <f>'3.sz.m Önk  bev.'!S15</f>
        <v>0</v>
      </c>
      <c r="U15" s="821"/>
      <c r="V15" s="385"/>
      <c r="W15" s="299"/>
      <c r="X15" s="299"/>
      <c r="Y15" s="299"/>
      <c r="Z15" s="299"/>
      <c r="AA15" s="299"/>
      <c r="AB15" s="299"/>
      <c r="AC15" s="821"/>
    </row>
    <row r="16" spans="1:29" ht="21.75" customHeight="1">
      <c r="A16" s="108"/>
      <c r="B16" s="104" t="s">
        <v>119</v>
      </c>
      <c r="C16" s="1115" t="s">
        <v>322</v>
      </c>
      <c r="D16" s="1115"/>
      <c r="E16" s="385">
        <f>'3.sz.m Önk  bev.'!E16</f>
        <v>12500</v>
      </c>
      <c r="F16" s="299">
        <f>'3.sz.m Önk  bev.'!F16</f>
        <v>12500</v>
      </c>
      <c r="G16" s="299">
        <f>'3.sz.m Önk  bev.'!G16</f>
        <v>12500</v>
      </c>
      <c r="H16" s="299">
        <f>'3.sz.m Önk  bev.'!H16</f>
        <v>12500</v>
      </c>
      <c r="I16" s="299">
        <f>'3.sz.m Önk  bev.'!I16</f>
        <v>12500</v>
      </c>
      <c r="J16" s="299">
        <f>'3.sz.m Önk  bev.'!J16</f>
        <v>14919</v>
      </c>
      <c r="K16" s="299">
        <f>'3.sz.m Önk  bev.'!K16</f>
        <v>14060</v>
      </c>
      <c r="L16" s="822">
        <f t="shared" si="3"/>
        <v>0.9424224143709364</v>
      </c>
      <c r="M16" s="385">
        <f>'3.sz.m Önk  bev.'!M16</f>
        <v>12500</v>
      </c>
      <c r="N16" s="299">
        <f>'3.sz.m Önk  bev.'!N16</f>
        <v>12500</v>
      </c>
      <c r="O16" s="299">
        <f>'3.sz.m Önk  bev.'!O16</f>
        <v>12500</v>
      </c>
      <c r="P16" s="299">
        <f>'3.sz.m Önk  bev.'!P16</f>
        <v>12500</v>
      </c>
      <c r="Q16" s="299"/>
      <c r="R16" s="299">
        <f>'3.sz.m Önk  bev.'!Q16</f>
        <v>12500</v>
      </c>
      <c r="S16" s="299">
        <f>'3.sz.m Önk  bev.'!R16</f>
        <v>14919</v>
      </c>
      <c r="T16" s="299">
        <f>'3.sz.m Önk  bev.'!S16</f>
        <v>14060</v>
      </c>
      <c r="U16" s="822">
        <f t="shared" si="4"/>
        <v>0.9424224143709364</v>
      </c>
      <c r="V16" s="385"/>
      <c r="W16" s="299"/>
      <c r="X16" s="299"/>
      <c r="Y16" s="299"/>
      <c r="Z16" s="299"/>
      <c r="AA16" s="299"/>
      <c r="AB16" s="299"/>
      <c r="AC16" s="822"/>
    </row>
    <row r="17" spans="1:29" ht="21.75" customHeight="1">
      <c r="A17" s="108"/>
      <c r="B17" s="104" t="s">
        <v>52</v>
      </c>
      <c r="C17" s="1116" t="s">
        <v>323</v>
      </c>
      <c r="D17" s="1117"/>
      <c r="E17" s="385">
        <f aca="true" t="shared" si="7" ref="E17:P17">SUM(E18:E19)</f>
        <v>1000</v>
      </c>
      <c r="F17" s="299">
        <f t="shared" si="7"/>
        <v>1000</v>
      </c>
      <c r="G17" s="299">
        <f t="shared" si="7"/>
        <v>1000</v>
      </c>
      <c r="H17" s="299">
        <f t="shared" si="7"/>
        <v>1300</v>
      </c>
      <c r="I17" s="299">
        <f t="shared" si="7"/>
        <v>1368</v>
      </c>
      <c r="J17" s="299">
        <f t="shared" si="7"/>
        <v>2989</v>
      </c>
      <c r="K17" s="299">
        <f>SUM(K18:K19)</f>
        <v>1684</v>
      </c>
      <c r="L17" s="822">
        <f t="shared" si="3"/>
        <v>0.5633991301438608</v>
      </c>
      <c r="M17" s="385">
        <f t="shared" si="7"/>
        <v>1000</v>
      </c>
      <c r="N17" s="299">
        <f t="shared" si="7"/>
        <v>1000</v>
      </c>
      <c r="O17" s="299">
        <f t="shared" si="7"/>
        <v>1000</v>
      </c>
      <c r="P17" s="299">
        <f t="shared" si="7"/>
        <v>1300</v>
      </c>
      <c r="Q17" s="299"/>
      <c r="R17" s="299">
        <f>SUM(R18:R19)</f>
        <v>1368</v>
      </c>
      <c r="S17" s="299">
        <f>SUM(S18:S19)</f>
        <v>2989</v>
      </c>
      <c r="T17" s="299">
        <f>SUM(T18:T19)</f>
        <v>1684</v>
      </c>
      <c r="U17" s="822">
        <f t="shared" si="4"/>
        <v>0.5633991301438608</v>
      </c>
      <c r="V17" s="385"/>
      <c r="W17" s="299"/>
      <c r="X17" s="299"/>
      <c r="Y17" s="299"/>
      <c r="Z17" s="299"/>
      <c r="AA17" s="299"/>
      <c r="AB17" s="299"/>
      <c r="AC17" s="822"/>
    </row>
    <row r="18" spans="1:29" ht="21.75" customHeight="1">
      <c r="A18" s="108"/>
      <c r="B18" s="104"/>
      <c r="C18" s="104" t="s">
        <v>324</v>
      </c>
      <c r="D18" s="599" t="s">
        <v>326</v>
      </c>
      <c r="E18" s="385">
        <f>'3.sz.m Önk  bev.'!E18</f>
        <v>0</v>
      </c>
      <c r="F18" s="299">
        <f>'3.sz.m Önk  bev.'!F18</f>
        <v>0</v>
      </c>
      <c r="G18" s="299">
        <f>'3.sz.m Önk  bev.'!G18</f>
        <v>0</v>
      </c>
      <c r="H18" s="299">
        <f>'3.sz.m Önk  bev.'!H18</f>
        <v>0</v>
      </c>
      <c r="I18" s="299">
        <f>'3.sz.m Önk  bev.'!I18</f>
        <v>0</v>
      </c>
      <c r="J18" s="299">
        <f>'3.sz.m Önk  bev.'!J18</f>
        <v>0</v>
      </c>
      <c r="K18" s="299">
        <f>'3.sz.m Önk  bev.'!K18</f>
        <v>0</v>
      </c>
      <c r="L18" s="822"/>
      <c r="M18" s="385">
        <f>'3.sz.m Önk  bev.'!M18</f>
        <v>0</v>
      </c>
      <c r="N18" s="299">
        <f>'3.sz.m Önk  bev.'!N18</f>
        <v>0</v>
      </c>
      <c r="O18" s="299">
        <f>'3.sz.m Önk  bev.'!O18</f>
        <v>0</v>
      </c>
      <c r="P18" s="299">
        <f>'3.sz.m Önk  bev.'!P18</f>
        <v>0</v>
      </c>
      <c r="Q18" s="299"/>
      <c r="R18" s="299">
        <f>'3.sz.m Önk  bev.'!Q18</f>
        <v>0</v>
      </c>
      <c r="S18" s="299">
        <f>'3.sz.m Önk  bev.'!R18</f>
        <v>0</v>
      </c>
      <c r="T18" s="299">
        <f>'3.sz.m Önk  bev.'!S18</f>
        <v>0</v>
      </c>
      <c r="U18" s="822"/>
      <c r="V18" s="385"/>
      <c r="W18" s="299"/>
      <c r="X18" s="299"/>
      <c r="Y18" s="299"/>
      <c r="Z18" s="299"/>
      <c r="AA18" s="299"/>
      <c r="AB18" s="299"/>
      <c r="AC18" s="822"/>
    </row>
    <row r="19" spans="1:29" ht="21.75" customHeight="1">
      <c r="A19" s="108"/>
      <c r="B19" s="104"/>
      <c r="C19" s="104" t="s">
        <v>325</v>
      </c>
      <c r="D19" s="599" t="s">
        <v>297</v>
      </c>
      <c r="E19" s="385">
        <f>'3.sz.m Önk  bev.'!E19</f>
        <v>1000</v>
      </c>
      <c r="F19" s="299">
        <f>'3.sz.m Önk  bev.'!F19</f>
        <v>1000</v>
      </c>
      <c r="G19" s="299">
        <f>'3.sz.m Önk  bev.'!G19</f>
        <v>1000</v>
      </c>
      <c r="H19" s="299">
        <f>'3.sz.m Önk  bev.'!H19</f>
        <v>1300</v>
      </c>
      <c r="I19" s="299">
        <f>'3.sz.m Önk  bev.'!I19</f>
        <v>1368</v>
      </c>
      <c r="J19" s="299">
        <f>'3.sz.m Önk  bev.'!J19</f>
        <v>2989</v>
      </c>
      <c r="K19" s="299">
        <f>'3.sz.m Önk  bev.'!K19</f>
        <v>1684</v>
      </c>
      <c r="L19" s="822">
        <f t="shared" si="3"/>
        <v>0.5633991301438608</v>
      </c>
      <c r="M19" s="385">
        <f>'3.sz.m Önk  bev.'!M19</f>
        <v>1000</v>
      </c>
      <c r="N19" s="299">
        <f>'3.sz.m Önk  bev.'!N19</f>
        <v>1000</v>
      </c>
      <c r="O19" s="299">
        <f>'3.sz.m Önk  bev.'!O19</f>
        <v>1000</v>
      </c>
      <c r="P19" s="299">
        <f>'3.sz.m Önk  bev.'!P19</f>
        <v>1300</v>
      </c>
      <c r="Q19" s="299"/>
      <c r="R19" s="299">
        <f>'3.sz.m Önk  bev.'!Q19</f>
        <v>1368</v>
      </c>
      <c r="S19" s="299">
        <f>'3.sz.m Önk  bev.'!R19</f>
        <v>2989</v>
      </c>
      <c r="T19" s="299">
        <f>'3.sz.m Önk  bev.'!S19</f>
        <v>1684</v>
      </c>
      <c r="U19" s="822">
        <f t="shared" si="4"/>
        <v>0.5633991301438608</v>
      </c>
      <c r="V19" s="385"/>
      <c r="W19" s="299"/>
      <c r="X19" s="299"/>
      <c r="Y19" s="299"/>
      <c r="Z19" s="299"/>
      <c r="AA19" s="299"/>
      <c r="AB19" s="299"/>
      <c r="AC19" s="822"/>
    </row>
    <row r="20" spans="1:29" ht="21.75" customHeight="1" thickBot="1">
      <c r="A20" s="484"/>
      <c r="B20" s="657" t="s">
        <v>53</v>
      </c>
      <c r="C20" s="1118" t="s">
        <v>327</v>
      </c>
      <c r="D20" s="1119"/>
      <c r="E20" s="385">
        <f>'3.sz.m Önk  bev.'!E20</f>
        <v>344</v>
      </c>
      <c r="F20" s="299">
        <f>'3.sz.m Önk  bev.'!F20</f>
        <v>344</v>
      </c>
      <c r="G20" s="299">
        <f>'3.sz.m Önk  bev.'!G20</f>
        <v>344</v>
      </c>
      <c r="H20" s="299">
        <f>'3.sz.m Önk  bev.'!H20</f>
        <v>1344</v>
      </c>
      <c r="I20" s="299">
        <f>'3.sz.m Önk  bev.'!I20</f>
        <v>2249</v>
      </c>
      <c r="J20" s="299">
        <f>'3.sz.m Önk  bev.'!J20</f>
        <v>2552</v>
      </c>
      <c r="K20" s="299">
        <f>'3.sz.m Önk  bev.'!K20</f>
        <v>2451</v>
      </c>
      <c r="L20" s="823">
        <f t="shared" si="3"/>
        <v>0.960423197492163</v>
      </c>
      <c r="M20" s="385">
        <f>'3.sz.m Önk  bev.'!M20</f>
        <v>344</v>
      </c>
      <c r="N20" s="299">
        <f>'3.sz.m Önk  bev.'!N20</f>
        <v>344</v>
      </c>
      <c r="O20" s="299">
        <f>'3.sz.m Önk  bev.'!O20</f>
        <v>344</v>
      </c>
      <c r="P20" s="299">
        <f>'3.sz.m Önk  bev.'!P20</f>
        <v>1344</v>
      </c>
      <c r="Q20" s="299"/>
      <c r="R20" s="299">
        <f>'3.sz.m Önk  bev.'!Q20</f>
        <v>2249</v>
      </c>
      <c r="S20" s="299">
        <f>'3.sz.m Önk  bev.'!R20</f>
        <v>2552</v>
      </c>
      <c r="T20" s="299">
        <f>'3.sz.m Önk  bev.'!S20</f>
        <v>2451</v>
      </c>
      <c r="U20" s="823">
        <f t="shared" si="4"/>
        <v>0.960423197492163</v>
      </c>
      <c r="V20" s="385"/>
      <c r="W20" s="299"/>
      <c r="X20" s="299"/>
      <c r="Y20" s="299"/>
      <c r="Z20" s="299"/>
      <c r="AA20" s="299"/>
      <c r="AB20" s="299"/>
      <c r="AC20" s="823"/>
    </row>
    <row r="21" spans="1:29" ht="21.75" customHeight="1" thickBot="1">
      <c r="A21" s="111" t="s">
        <v>328</v>
      </c>
      <c r="B21" s="1104" t="s">
        <v>329</v>
      </c>
      <c r="C21" s="1104"/>
      <c r="D21" s="1104"/>
      <c r="E21" s="383">
        <f aca="true" t="shared" si="8" ref="E21:P21">E22+E23+E24+E28+E29+E30+E31</f>
        <v>46585</v>
      </c>
      <c r="F21" s="297">
        <f t="shared" si="8"/>
        <v>46585</v>
      </c>
      <c r="G21" s="297">
        <f t="shared" si="8"/>
        <v>54181</v>
      </c>
      <c r="H21" s="297">
        <f t="shared" si="8"/>
        <v>59861</v>
      </c>
      <c r="I21" s="297">
        <f t="shared" si="8"/>
        <v>59664</v>
      </c>
      <c r="J21" s="297">
        <f t="shared" si="8"/>
        <v>61775</v>
      </c>
      <c r="K21" s="297">
        <f>K22+K23+K24+K28+K29+K30+K31</f>
        <v>59557</v>
      </c>
      <c r="L21" s="819">
        <f t="shared" si="3"/>
        <v>0.9640955078915419</v>
      </c>
      <c r="M21" s="383">
        <f t="shared" si="8"/>
        <v>46585</v>
      </c>
      <c r="N21" s="297">
        <f t="shared" si="8"/>
        <v>46585</v>
      </c>
      <c r="O21" s="297">
        <f t="shared" si="8"/>
        <v>53418</v>
      </c>
      <c r="P21" s="297">
        <f t="shared" si="8"/>
        <v>59098</v>
      </c>
      <c r="Q21" s="297"/>
      <c r="R21" s="297">
        <f>R22+R23+R24+R28+R29+R30+R31</f>
        <v>58901</v>
      </c>
      <c r="S21" s="297">
        <f>S22+S23+S24+S28+S29+S30+S31</f>
        <v>61012</v>
      </c>
      <c r="T21" s="297">
        <f>T22+T23+T24+T28+T29+T30+T31</f>
        <v>58989</v>
      </c>
      <c r="U21" s="819">
        <f t="shared" si="4"/>
        <v>0.9668425883432767</v>
      </c>
      <c r="V21" s="383">
        <f aca="true" t="shared" si="9" ref="V21:AA21">V22+V23+V24+V28+V29+V30+V31</f>
        <v>0</v>
      </c>
      <c r="W21" s="297">
        <f t="shared" si="9"/>
        <v>0</v>
      </c>
      <c r="X21" s="297">
        <f t="shared" si="9"/>
        <v>763</v>
      </c>
      <c r="Y21" s="297">
        <f t="shared" si="9"/>
        <v>763</v>
      </c>
      <c r="Z21" s="297">
        <f t="shared" si="9"/>
        <v>763</v>
      </c>
      <c r="AA21" s="297">
        <f t="shared" si="9"/>
        <v>763</v>
      </c>
      <c r="AB21" s="297">
        <f>AB22+AB23+AB24+AB28+AB29+AB30+AB31</f>
        <v>568</v>
      </c>
      <c r="AC21" s="819">
        <f>AB21/AA21</f>
        <v>0.744429882044561</v>
      </c>
    </row>
    <row r="22" spans="1:29" ht="21.75" customHeight="1">
      <c r="A22" s="109"/>
      <c r="B22" s="110" t="s">
        <v>42</v>
      </c>
      <c r="C22" s="1111" t="s">
        <v>330</v>
      </c>
      <c r="D22" s="1111"/>
      <c r="E22" s="384">
        <f>'3.sz.m Önk  bev.'!E22+'5.2 sz. m ÁMK'!D9</f>
        <v>34759</v>
      </c>
      <c r="F22" s="298">
        <f>'3.sz.m Önk  bev.'!F22+'5.2 sz. m ÁMK'!E9</f>
        <v>34759</v>
      </c>
      <c r="G22" s="298">
        <f>'3.sz.m Önk  bev.'!G22+'5.2 sz. m ÁMK'!F9+'5.1 sz. m Köz Hiv'!F9</f>
        <v>38617</v>
      </c>
      <c r="H22" s="298">
        <f>'3.sz.m Önk  bev.'!H22+'5.2 sz. m ÁMK'!G9+'5.1 sz. m Köz Hiv'!G9</f>
        <v>43052</v>
      </c>
      <c r="I22" s="298">
        <f>'3.sz.m Önk  bev.'!I22+'5.2 sz. m ÁMK'!H9+'5.1 sz. m Köz Hiv'!H9</f>
        <v>43055</v>
      </c>
      <c r="J22" s="298">
        <f>'3.sz.m Önk  bev.'!J22+'5.2 sz. m ÁMK'!I9+'5.1 sz. m Köz Hiv'!I9</f>
        <v>43320</v>
      </c>
      <c r="K22" s="298">
        <f>'3.sz.m Önk  bev.'!K22+'5.2 sz. m ÁMK'!J9+'5.1 sz. m Köz Hiv'!J9</f>
        <v>41687</v>
      </c>
      <c r="L22" s="824">
        <f t="shared" si="3"/>
        <v>0.9623037857802401</v>
      </c>
      <c r="M22" s="384">
        <f>'3.sz.m Önk  bev.'!M22+'5.2 sz. m ÁMK'!L9</f>
        <v>34759</v>
      </c>
      <c r="N22" s="298">
        <f>'3.sz.m Önk  bev.'!N22+'5.2 sz. m ÁMK'!M9</f>
        <v>34759</v>
      </c>
      <c r="O22" s="298">
        <f>'3.sz.m Önk  bev.'!O22+'5.2 sz. m ÁMK'!N9+'5.1 sz. m Köz Hiv'!N9</f>
        <v>38617</v>
      </c>
      <c r="P22" s="298">
        <f>'3.sz.m Önk  bev.'!P22+'5.2 sz. m ÁMK'!O9+'5.1 sz. m Köz Hiv'!O9</f>
        <v>43052</v>
      </c>
      <c r="Q22" s="298"/>
      <c r="R22" s="298">
        <f>'3.sz.m Önk  bev.'!Q22+'5.2 sz. m ÁMK'!P9+'5.1 sz. m Köz Hiv'!P9</f>
        <v>43055</v>
      </c>
      <c r="S22" s="298">
        <f>'3.sz.m Önk  bev.'!R22+'5.2 sz. m ÁMK'!Q9+'5.1 sz. m Köz Hiv'!Q9</f>
        <v>43320</v>
      </c>
      <c r="T22" s="298">
        <f>'3.sz.m Önk  bev.'!S22+'5.2 sz. m ÁMK'!R9+'5.1 sz. m Köz Hiv'!R9</f>
        <v>41687</v>
      </c>
      <c r="U22" s="824">
        <f t="shared" si="4"/>
        <v>0.9623037857802401</v>
      </c>
      <c r="V22" s="384"/>
      <c r="W22" s="298"/>
      <c r="X22" s="298"/>
      <c r="Y22" s="298"/>
      <c r="Z22" s="298"/>
      <c r="AA22" s="298"/>
      <c r="AB22" s="298"/>
      <c r="AC22" s="824"/>
    </row>
    <row r="23" spans="1:29" ht="21.75" customHeight="1">
      <c r="A23" s="108"/>
      <c r="B23" s="104" t="s">
        <v>43</v>
      </c>
      <c r="C23" s="1100" t="s">
        <v>331</v>
      </c>
      <c r="D23" s="1100"/>
      <c r="E23" s="388">
        <f>'3.sz.m Önk  bev.'!E23</f>
        <v>450</v>
      </c>
      <c r="F23" s="300">
        <f>'3.sz.m Önk  bev.'!F23</f>
        <v>450</v>
      </c>
      <c r="G23" s="300">
        <f>'3.sz.m Önk  bev.'!G23</f>
        <v>1692</v>
      </c>
      <c r="H23" s="300">
        <f>'3.sz.m Önk  bev.'!H23</f>
        <v>2792</v>
      </c>
      <c r="I23" s="300">
        <f>'3.sz.m Önk  bev.'!I23</f>
        <v>2792</v>
      </c>
      <c r="J23" s="300">
        <f>'3.sz.m Önk  bev.'!J23</f>
        <v>3490</v>
      </c>
      <c r="K23" s="300">
        <f>'3.sz.m Önk  bev.'!K23</f>
        <v>3220</v>
      </c>
      <c r="L23" s="811">
        <f t="shared" si="3"/>
        <v>0.9226361031518625</v>
      </c>
      <c r="M23" s="388">
        <f>'3.sz.m Önk  bev.'!M23</f>
        <v>450</v>
      </c>
      <c r="N23" s="300">
        <f>'3.sz.m Önk  bev.'!N23</f>
        <v>450</v>
      </c>
      <c r="O23" s="300">
        <f>'3.sz.m Önk  bev.'!O23</f>
        <v>1692</v>
      </c>
      <c r="P23" s="300">
        <f>'3.sz.m Önk  bev.'!P23</f>
        <v>2792</v>
      </c>
      <c r="Q23" s="300"/>
      <c r="R23" s="300">
        <f>'3.sz.m Önk  bev.'!Q23</f>
        <v>2792</v>
      </c>
      <c r="S23" s="300">
        <f>'3.sz.m Önk  bev.'!R23</f>
        <v>3490</v>
      </c>
      <c r="T23" s="300">
        <f>'3.sz.m Önk  bev.'!S23</f>
        <v>3220</v>
      </c>
      <c r="U23" s="811">
        <f t="shared" si="4"/>
        <v>0.9226361031518625</v>
      </c>
      <c r="V23" s="388"/>
      <c r="W23" s="300"/>
      <c r="X23" s="300"/>
      <c r="Y23" s="300"/>
      <c r="Z23" s="300"/>
      <c r="AA23" s="300"/>
      <c r="AB23" s="300"/>
      <c r="AC23" s="811"/>
    </row>
    <row r="24" spans="1:30" ht="21.75" customHeight="1">
      <c r="A24" s="108"/>
      <c r="B24" s="104" t="s">
        <v>44</v>
      </c>
      <c r="C24" s="1100" t="s">
        <v>332</v>
      </c>
      <c r="D24" s="1100"/>
      <c r="E24" s="388">
        <f aca="true" t="shared" si="10" ref="E24:P24">SUM(E25:E27)</f>
        <v>9476</v>
      </c>
      <c r="F24" s="300">
        <f t="shared" si="10"/>
        <v>9476</v>
      </c>
      <c r="G24" s="300">
        <f t="shared" si="10"/>
        <v>10271</v>
      </c>
      <c r="H24" s="300">
        <f t="shared" si="10"/>
        <v>10466</v>
      </c>
      <c r="I24" s="300">
        <f t="shared" si="10"/>
        <v>10466</v>
      </c>
      <c r="J24" s="300">
        <f t="shared" si="10"/>
        <v>11222</v>
      </c>
      <c r="K24" s="300">
        <f>SUM(K25:K27)</f>
        <v>11022</v>
      </c>
      <c r="L24" s="811">
        <f t="shared" si="3"/>
        <v>0.982177864908216</v>
      </c>
      <c r="M24" s="388">
        <f t="shared" si="10"/>
        <v>9476</v>
      </c>
      <c r="N24" s="300">
        <f t="shared" si="10"/>
        <v>9476</v>
      </c>
      <c r="O24" s="300">
        <f t="shared" si="10"/>
        <v>9508</v>
      </c>
      <c r="P24" s="300">
        <f t="shared" si="10"/>
        <v>9703</v>
      </c>
      <c r="Q24" s="300"/>
      <c r="R24" s="300">
        <f>SUM(R25:R27)</f>
        <v>9703</v>
      </c>
      <c r="S24" s="300">
        <f>SUM(S25:S27)</f>
        <v>10459</v>
      </c>
      <c r="T24" s="300">
        <f>SUM(T25:T27)</f>
        <v>10454</v>
      </c>
      <c r="U24" s="811">
        <f t="shared" si="4"/>
        <v>0.9995219428243618</v>
      </c>
      <c r="V24" s="388"/>
      <c r="W24" s="300"/>
      <c r="X24" s="300">
        <f>SUM(X25:X27)</f>
        <v>763</v>
      </c>
      <c r="Y24" s="300">
        <f>SUM(Y25:Y27)</f>
        <v>763</v>
      </c>
      <c r="Z24" s="300">
        <f>SUM(Z25:Z27)</f>
        <v>763</v>
      </c>
      <c r="AA24" s="300">
        <f>SUM(AA25:AA27)</f>
        <v>763</v>
      </c>
      <c r="AB24" s="300">
        <f>SUM(AB25:AB27)</f>
        <v>568</v>
      </c>
      <c r="AC24" s="811">
        <f>AB24/AA24</f>
        <v>0.744429882044561</v>
      </c>
      <c r="AD24" s="1367"/>
    </row>
    <row r="25" spans="1:30" ht="31.5" customHeight="1">
      <c r="A25" s="108"/>
      <c r="B25" s="104"/>
      <c r="C25" s="104" t="s">
        <v>102</v>
      </c>
      <c r="D25" s="346" t="s">
        <v>333</v>
      </c>
      <c r="E25" s="388">
        <f>'3.sz.m Önk  bev.'!E25</f>
        <v>9476</v>
      </c>
      <c r="F25" s="300">
        <f>'3.sz.m Önk  bev.'!F25</f>
        <v>9476</v>
      </c>
      <c r="G25" s="300">
        <f>'3.sz.m Önk  bev.'!G25</f>
        <v>10271</v>
      </c>
      <c r="H25" s="300">
        <f>'3.sz.m Önk  bev.'!H25</f>
        <v>10076</v>
      </c>
      <c r="I25" s="300">
        <f>'3.sz.m Önk  bev.'!I25</f>
        <v>10076</v>
      </c>
      <c r="J25" s="300">
        <f>'3.sz.m Önk  bev.'!J25</f>
        <v>10832</v>
      </c>
      <c r="K25" s="300">
        <f>'3.sz.m Önk  bev.'!K25</f>
        <v>10632</v>
      </c>
      <c r="L25" s="811">
        <f t="shared" si="3"/>
        <v>0.981536189069424</v>
      </c>
      <c r="M25" s="388">
        <f>'3.sz.m Önk  bev.'!M25</f>
        <v>9476</v>
      </c>
      <c r="N25" s="300">
        <f>'3.sz.m Önk  bev.'!N25</f>
        <v>9476</v>
      </c>
      <c r="O25" s="300">
        <f>'3.sz.m Önk  bev.'!O25</f>
        <v>9508</v>
      </c>
      <c r="P25" s="300">
        <f>'3.sz.m Önk  bev.'!P25</f>
        <v>9313</v>
      </c>
      <c r="Q25" s="300"/>
      <c r="R25" s="300">
        <f>'3.sz.m Önk  bev.'!Q25</f>
        <v>9313</v>
      </c>
      <c r="S25" s="300">
        <f>'3.sz.m Önk  bev.'!R25</f>
        <v>10069</v>
      </c>
      <c r="T25" s="300">
        <f>'3.sz.m Önk  bev.'!S25</f>
        <v>10064</v>
      </c>
      <c r="U25" s="811">
        <f t="shared" si="4"/>
        <v>0.9995034263581289</v>
      </c>
      <c r="V25" s="388"/>
      <c r="W25" s="300"/>
      <c r="X25" s="300">
        <f>'3.sz.m Önk  bev.'!W25</f>
        <v>763</v>
      </c>
      <c r="Y25" s="300">
        <f>'3.sz.m Önk  bev.'!X25</f>
        <v>763</v>
      </c>
      <c r="Z25" s="300">
        <f>'3.sz.m Önk  bev.'!Y25</f>
        <v>763</v>
      </c>
      <c r="AA25" s="300">
        <f>'3.sz.m Önk  bev.'!Z25</f>
        <v>763</v>
      </c>
      <c r="AB25" s="300">
        <f>'3.sz.m Önk  bev.'!AA25</f>
        <v>568</v>
      </c>
      <c r="AC25" s="811">
        <f>AB25/AA25</f>
        <v>0.744429882044561</v>
      </c>
      <c r="AD25" s="341"/>
    </row>
    <row r="26" spans="1:29" ht="41.25" customHeight="1">
      <c r="A26" s="108"/>
      <c r="B26" s="104"/>
      <c r="C26" s="104" t="s">
        <v>103</v>
      </c>
      <c r="D26" s="346" t="s">
        <v>334</v>
      </c>
      <c r="E26" s="388">
        <f>'3.sz.m Önk  bev.'!E26</f>
        <v>0</v>
      </c>
      <c r="F26" s="300">
        <f>'3.sz.m Önk  bev.'!F26</f>
        <v>0</v>
      </c>
      <c r="G26" s="300">
        <f>'3.sz.m Önk  bev.'!G26</f>
        <v>0</v>
      </c>
      <c r="H26" s="300">
        <f>'3.sz.m Önk  bev.'!H26</f>
        <v>390</v>
      </c>
      <c r="I26" s="300">
        <f>'3.sz.m Önk  bev.'!I26</f>
        <v>390</v>
      </c>
      <c r="J26" s="300">
        <f>'3.sz.m Önk  bev.'!J26</f>
        <v>390</v>
      </c>
      <c r="K26" s="300">
        <f>'3.sz.m Önk  bev.'!K26</f>
        <v>390</v>
      </c>
      <c r="L26" s="811">
        <f t="shared" si="3"/>
        <v>1</v>
      </c>
      <c r="M26" s="388">
        <f>'3.sz.m Önk  bev.'!M26</f>
        <v>0</v>
      </c>
      <c r="N26" s="300">
        <f>'3.sz.m Önk  bev.'!N26</f>
        <v>0</v>
      </c>
      <c r="O26" s="300">
        <f>'3.sz.m Önk  bev.'!O26</f>
        <v>0</v>
      </c>
      <c r="P26" s="300">
        <f>'3.sz.m Önk  bev.'!P26</f>
        <v>390</v>
      </c>
      <c r="Q26" s="300"/>
      <c r="R26" s="300">
        <f>'3.sz.m Önk  bev.'!Q26</f>
        <v>390</v>
      </c>
      <c r="S26" s="300">
        <f>'3.sz.m Önk  bev.'!R26</f>
        <v>390</v>
      </c>
      <c r="T26" s="300">
        <f>'3.sz.m Önk  bev.'!S26</f>
        <v>390</v>
      </c>
      <c r="U26" s="811">
        <f t="shared" si="4"/>
        <v>1</v>
      </c>
      <c r="V26" s="388"/>
      <c r="W26" s="300"/>
      <c r="X26" s="300"/>
      <c r="Y26" s="300"/>
      <c r="Z26" s="300"/>
      <c r="AA26" s="300"/>
      <c r="AB26" s="300"/>
      <c r="AC26" s="811"/>
    </row>
    <row r="27" spans="1:29" ht="21.75" customHeight="1">
      <c r="A27" s="108"/>
      <c r="B27" s="104"/>
      <c r="C27" s="104" t="s">
        <v>104</v>
      </c>
      <c r="D27" s="346" t="s">
        <v>335</v>
      </c>
      <c r="E27" s="388">
        <f>'3.sz.m Önk  bev.'!E27</f>
        <v>0</v>
      </c>
      <c r="F27" s="300">
        <f>'3.sz.m Önk  bev.'!F27</f>
        <v>0</v>
      </c>
      <c r="G27" s="300">
        <f>'3.sz.m Önk  bev.'!G27</f>
        <v>0</v>
      </c>
      <c r="H27" s="300">
        <f>'3.sz.m Önk  bev.'!H27</f>
        <v>0</v>
      </c>
      <c r="I27" s="300">
        <f>'3.sz.m Önk  bev.'!I27</f>
        <v>0</v>
      </c>
      <c r="J27" s="300">
        <f>'3.sz.m Önk  bev.'!J27</f>
        <v>0</v>
      </c>
      <c r="K27" s="300">
        <f>'3.sz.m Önk  bev.'!K27</f>
        <v>0</v>
      </c>
      <c r="L27" s="811"/>
      <c r="M27" s="388">
        <f>'3.sz.m Önk  bev.'!M27</f>
        <v>0</v>
      </c>
      <c r="N27" s="300">
        <f>'3.sz.m Önk  bev.'!N27</f>
        <v>0</v>
      </c>
      <c r="O27" s="300">
        <f>'3.sz.m Önk  bev.'!O27</f>
        <v>0</v>
      </c>
      <c r="P27" s="300">
        <f>'3.sz.m Önk  bev.'!P27</f>
        <v>0</v>
      </c>
      <c r="Q27" s="300"/>
      <c r="R27" s="300">
        <f>'3.sz.m Önk  bev.'!Q27</f>
        <v>0</v>
      </c>
      <c r="S27" s="300">
        <f>'3.sz.m Önk  bev.'!R27</f>
        <v>0</v>
      </c>
      <c r="T27" s="300">
        <f>'3.sz.m Önk  bev.'!S27</f>
        <v>0</v>
      </c>
      <c r="U27" s="811"/>
      <c r="V27" s="388"/>
      <c r="W27" s="300"/>
      <c r="X27" s="300"/>
      <c r="Y27" s="300"/>
      <c r="Z27" s="300"/>
      <c r="AA27" s="300"/>
      <c r="AB27" s="300"/>
      <c r="AC27" s="811"/>
    </row>
    <row r="28" spans="1:29" ht="21.75" customHeight="1">
      <c r="A28" s="108"/>
      <c r="B28" s="104" t="s">
        <v>298</v>
      </c>
      <c r="C28" s="1100" t="s">
        <v>336</v>
      </c>
      <c r="D28" s="1100"/>
      <c r="E28" s="388">
        <f>'3.sz.m Önk  bev.'!E28</f>
        <v>50</v>
      </c>
      <c r="F28" s="300">
        <f>'3.sz.m Önk  bev.'!F28</f>
        <v>50</v>
      </c>
      <c r="G28" s="300">
        <f>'3.sz.m Önk  bev.'!G28</f>
        <v>1283</v>
      </c>
      <c r="H28" s="300">
        <f>'3.sz.m Önk  bev.'!H28</f>
        <v>2083</v>
      </c>
      <c r="I28" s="300">
        <f>'3.sz.m Önk  bev.'!I28</f>
        <v>2083</v>
      </c>
      <c r="J28" s="300">
        <f>'3.sz.m Önk  bev.'!J28</f>
        <v>2153</v>
      </c>
      <c r="K28" s="300">
        <f>'3.sz.m Önk  bev.'!K28</f>
        <v>2047</v>
      </c>
      <c r="L28" s="811">
        <f t="shared" si="3"/>
        <v>0.9507663725034835</v>
      </c>
      <c r="M28" s="388">
        <f>'3.sz.m Önk  bev.'!M28</f>
        <v>50</v>
      </c>
      <c r="N28" s="300">
        <f>'3.sz.m Önk  bev.'!N28</f>
        <v>50</v>
      </c>
      <c r="O28" s="300">
        <f>'3.sz.m Önk  bev.'!O28</f>
        <v>1283</v>
      </c>
      <c r="P28" s="300">
        <f>'3.sz.m Önk  bev.'!P28</f>
        <v>2083</v>
      </c>
      <c r="Q28" s="300"/>
      <c r="R28" s="300">
        <f>'3.sz.m Önk  bev.'!Q28</f>
        <v>2083</v>
      </c>
      <c r="S28" s="300">
        <f>'3.sz.m Önk  bev.'!R28</f>
        <v>2153</v>
      </c>
      <c r="T28" s="300">
        <f>'3.sz.m Önk  bev.'!S28</f>
        <v>2047</v>
      </c>
      <c r="U28" s="811">
        <f t="shared" si="4"/>
        <v>0.9507663725034835</v>
      </c>
      <c r="V28" s="388"/>
      <c r="W28" s="300"/>
      <c r="X28" s="300"/>
      <c r="Y28" s="300"/>
      <c r="Z28" s="300"/>
      <c r="AA28" s="300"/>
      <c r="AB28" s="300"/>
      <c r="AC28" s="811"/>
    </row>
    <row r="29" spans="1:29" ht="21.75" customHeight="1">
      <c r="A29" s="112"/>
      <c r="B29" s="113" t="s">
        <v>337</v>
      </c>
      <c r="C29" s="1100" t="s">
        <v>338</v>
      </c>
      <c r="D29" s="1101"/>
      <c r="E29" s="388">
        <f>'3.sz.m Önk  bev.'!E29</f>
        <v>0</v>
      </c>
      <c r="F29" s="300">
        <f>'3.sz.m Önk  bev.'!F29</f>
        <v>0</v>
      </c>
      <c r="G29" s="300">
        <f>'3.sz.m Önk  bev.'!G29</f>
        <v>0</v>
      </c>
      <c r="H29" s="300">
        <f>'3.sz.m Önk  bev.'!H29</f>
        <v>0</v>
      </c>
      <c r="I29" s="300">
        <f>'3.sz.m Önk  bev.'!I29</f>
        <v>0</v>
      </c>
      <c r="J29" s="300">
        <f>'3.sz.m Önk  bev.'!J29</f>
        <v>0</v>
      </c>
      <c r="K29" s="300">
        <f>'3.sz.m Önk  bev.'!K29</f>
        <v>0</v>
      </c>
      <c r="L29" s="811"/>
      <c r="M29" s="388">
        <f>'3.sz.m Önk  bev.'!M29</f>
        <v>0</v>
      </c>
      <c r="N29" s="300">
        <f>'3.sz.m Önk  bev.'!N29</f>
        <v>0</v>
      </c>
      <c r="O29" s="300">
        <f>'3.sz.m Önk  bev.'!O29</f>
        <v>0</v>
      </c>
      <c r="P29" s="300">
        <f>'3.sz.m Önk  bev.'!P29</f>
        <v>0</v>
      </c>
      <c r="Q29" s="300"/>
      <c r="R29" s="300">
        <f>'3.sz.m Önk  bev.'!Q29</f>
        <v>0</v>
      </c>
      <c r="S29" s="300">
        <f>'3.sz.m Önk  bev.'!R29</f>
        <v>0</v>
      </c>
      <c r="T29" s="300">
        <f>'3.sz.m Önk  bev.'!S29</f>
        <v>0</v>
      </c>
      <c r="U29" s="811"/>
      <c r="V29" s="388"/>
      <c r="W29" s="300"/>
      <c r="X29" s="300"/>
      <c r="Y29" s="300"/>
      <c r="Z29" s="300"/>
      <c r="AA29" s="300"/>
      <c r="AB29" s="300"/>
      <c r="AC29" s="811"/>
    </row>
    <row r="30" spans="1:29" ht="21.75" customHeight="1">
      <c r="A30" s="112"/>
      <c r="B30" s="113" t="s">
        <v>339</v>
      </c>
      <c r="C30" s="1100" t="s">
        <v>340</v>
      </c>
      <c r="D30" s="1101"/>
      <c r="E30" s="388">
        <f>'3.sz.m Önk  bev.'!E30</f>
        <v>1850</v>
      </c>
      <c r="F30" s="300">
        <f>'3.sz.m Önk  bev.'!F30</f>
        <v>1850</v>
      </c>
      <c r="G30" s="300">
        <f>'3.sz.m Önk  bev.'!G30</f>
        <v>1850</v>
      </c>
      <c r="H30" s="300">
        <f>'3.sz.m Önk  bev.'!H30</f>
        <v>600</v>
      </c>
      <c r="I30" s="300">
        <f>'3.sz.m Önk  bev.'!I30</f>
        <v>400</v>
      </c>
      <c r="J30" s="300">
        <f>'3.sz.m Önk  bev.'!J30</f>
        <v>400</v>
      </c>
      <c r="K30" s="300">
        <f>'3.sz.m Önk  bev.'!K30</f>
        <v>391</v>
      </c>
      <c r="L30" s="811">
        <f t="shared" si="3"/>
        <v>0.9775</v>
      </c>
      <c r="M30" s="388">
        <f>'3.sz.m Önk  bev.'!M30</f>
        <v>1850</v>
      </c>
      <c r="N30" s="300">
        <f>'3.sz.m Önk  bev.'!N30</f>
        <v>1850</v>
      </c>
      <c r="O30" s="300">
        <f>'3.sz.m Önk  bev.'!O30</f>
        <v>1850</v>
      </c>
      <c r="P30" s="300">
        <f>'3.sz.m Önk  bev.'!P30</f>
        <v>600</v>
      </c>
      <c r="Q30" s="300"/>
      <c r="R30" s="300">
        <f>'3.sz.m Önk  bev.'!Q30</f>
        <v>400</v>
      </c>
      <c r="S30" s="300">
        <f>'3.sz.m Önk  bev.'!R30</f>
        <v>400</v>
      </c>
      <c r="T30" s="300">
        <f>'3.sz.m Önk  bev.'!S30</f>
        <v>391</v>
      </c>
      <c r="U30" s="811">
        <f t="shared" si="4"/>
        <v>0.9775</v>
      </c>
      <c r="V30" s="388"/>
      <c r="W30" s="300"/>
      <c r="X30" s="300"/>
      <c r="Y30" s="300"/>
      <c r="Z30" s="300"/>
      <c r="AA30" s="300"/>
      <c r="AB30" s="300"/>
      <c r="AC30" s="811"/>
    </row>
    <row r="31" spans="1:29" ht="21.75" customHeight="1" thickBot="1">
      <c r="A31" s="112"/>
      <c r="B31" s="113" t="s">
        <v>75</v>
      </c>
      <c r="C31" s="1113" t="s">
        <v>76</v>
      </c>
      <c r="D31" s="1113"/>
      <c r="E31" s="388">
        <f>'3.sz.m Önk  bev.'!E31</f>
        <v>0</v>
      </c>
      <c r="F31" s="300">
        <f>'3.sz.m Önk  bev.'!F31</f>
        <v>0</v>
      </c>
      <c r="G31" s="300">
        <f>'3.sz.m Önk  bev.'!G31</f>
        <v>468</v>
      </c>
      <c r="H31" s="300">
        <f>'3.sz.m Önk  bev.'!H31</f>
        <v>868</v>
      </c>
      <c r="I31" s="300">
        <f>'3.sz.m Önk  bev.'!I31</f>
        <v>868</v>
      </c>
      <c r="J31" s="300">
        <f>'3.sz.m Önk  bev.'!J31</f>
        <v>1190</v>
      </c>
      <c r="K31" s="300">
        <f>'3.sz.m Önk  bev.'!K31</f>
        <v>1190</v>
      </c>
      <c r="L31" s="811">
        <f t="shared" si="3"/>
        <v>1</v>
      </c>
      <c r="M31" s="388">
        <f>'3.sz.m Önk  bev.'!M31</f>
        <v>0</v>
      </c>
      <c r="N31" s="300">
        <f>'3.sz.m Önk  bev.'!N31</f>
        <v>0</v>
      </c>
      <c r="O31" s="300">
        <f>'3.sz.m Önk  bev.'!O31</f>
        <v>468</v>
      </c>
      <c r="P31" s="300">
        <f>'3.sz.m Önk  bev.'!P31</f>
        <v>868</v>
      </c>
      <c r="Q31" s="300"/>
      <c r="R31" s="300">
        <f>'3.sz.m Önk  bev.'!Q31</f>
        <v>868</v>
      </c>
      <c r="S31" s="300">
        <f>'3.sz.m Önk  bev.'!R31</f>
        <v>1190</v>
      </c>
      <c r="T31" s="300">
        <f>'3.sz.m Önk  bev.'!S31</f>
        <v>1190</v>
      </c>
      <c r="U31" s="811">
        <f t="shared" si="4"/>
        <v>1</v>
      </c>
      <c r="V31" s="388"/>
      <c r="W31" s="300"/>
      <c r="X31" s="300"/>
      <c r="Y31" s="300"/>
      <c r="Z31" s="300"/>
      <c r="AA31" s="300"/>
      <c r="AB31" s="300"/>
      <c r="AC31" s="811"/>
    </row>
    <row r="32" spans="1:29" ht="42.75" customHeight="1" thickBot="1">
      <c r="A32" s="115" t="s">
        <v>10</v>
      </c>
      <c r="B32" s="1104" t="s">
        <v>341</v>
      </c>
      <c r="C32" s="1104"/>
      <c r="D32" s="1104"/>
      <c r="E32" s="378">
        <f aca="true" t="shared" si="11" ref="E32:P32">SUM(E33:E37)</f>
        <v>271409</v>
      </c>
      <c r="F32" s="118">
        <f t="shared" si="11"/>
        <v>279559</v>
      </c>
      <c r="G32" s="118">
        <f t="shared" si="11"/>
        <v>279678</v>
      </c>
      <c r="H32" s="118">
        <f t="shared" si="11"/>
        <v>279958</v>
      </c>
      <c r="I32" s="118">
        <f t="shared" si="11"/>
        <v>287286</v>
      </c>
      <c r="J32" s="118">
        <f t="shared" si="11"/>
        <v>289368</v>
      </c>
      <c r="K32" s="118">
        <f>SUM(K33:K37)</f>
        <v>289255</v>
      </c>
      <c r="L32" s="825">
        <f t="shared" si="3"/>
        <v>0.9996094937933704</v>
      </c>
      <c r="M32" s="378">
        <f t="shared" si="11"/>
        <v>271409</v>
      </c>
      <c r="N32" s="118">
        <f t="shared" si="11"/>
        <v>279559</v>
      </c>
      <c r="O32" s="118">
        <f t="shared" si="11"/>
        <v>279678</v>
      </c>
      <c r="P32" s="118">
        <f t="shared" si="11"/>
        <v>279958</v>
      </c>
      <c r="Q32" s="118"/>
      <c r="R32" s="118">
        <f>SUM(R33:R37)</f>
        <v>287286</v>
      </c>
      <c r="S32" s="118">
        <f>SUM(S33:S37)</f>
        <v>289368</v>
      </c>
      <c r="T32" s="118">
        <f>SUM(T33:T37)</f>
        <v>289255</v>
      </c>
      <c r="U32" s="825">
        <f t="shared" si="4"/>
        <v>0.9996094937933704</v>
      </c>
      <c r="V32" s="378"/>
      <c r="W32" s="118"/>
      <c r="X32" s="118"/>
      <c r="Y32" s="118"/>
      <c r="Z32" s="118"/>
      <c r="AA32" s="118"/>
      <c r="AB32" s="118"/>
      <c r="AC32" s="825"/>
    </row>
    <row r="33" spans="1:30" ht="21.75" customHeight="1">
      <c r="A33" s="109"/>
      <c r="B33" s="113" t="s">
        <v>45</v>
      </c>
      <c r="C33" s="1102" t="s">
        <v>342</v>
      </c>
      <c r="D33" s="1103"/>
      <c r="E33" s="388">
        <f>'3.sz.m Önk  bev.'!E33</f>
        <v>239110</v>
      </c>
      <c r="F33" s="300">
        <f>'3.sz.m Önk  bev.'!F33</f>
        <v>241220</v>
      </c>
      <c r="G33" s="300">
        <f>'3.sz.m Önk  bev.'!G33</f>
        <v>243168</v>
      </c>
      <c r="H33" s="300">
        <f>'3.sz.m Önk  bev.'!H33</f>
        <v>243168</v>
      </c>
      <c r="I33" s="300">
        <f>'3.sz.m Önk  bev.'!I33</f>
        <v>246375</v>
      </c>
      <c r="J33" s="300">
        <f>'3.sz.m Önk  bev.'!J33</f>
        <v>244692</v>
      </c>
      <c r="K33" s="300">
        <f>'3.sz.m Önk  bev.'!K33</f>
        <v>244692</v>
      </c>
      <c r="L33" s="1368">
        <f t="shared" si="3"/>
        <v>1</v>
      </c>
      <c r="M33" s="388">
        <f>'3.sz.m Önk  bev.'!M33</f>
        <v>239110</v>
      </c>
      <c r="N33" s="300">
        <f>'3.sz.m Önk  bev.'!N33</f>
        <v>241220</v>
      </c>
      <c r="O33" s="300">
        <f>'3.sz.m Önk  bev.'!O33</f>
        <v>243168</v>
      </c>
      <c r="P33" s="300">
        <f>'3.sz.m Önk  bev.'!P33</f>
        <v>243168</v>
      </c>
      <c r="Q33" s="300"/>
      <c r="R33" s="300">
        <f>'3.sz.m Önk  bev.'!Q33</f>
        <v>246375</v>
      </c>
      <c r="S33" s="300">
        <f>'3.sz.m Önk  bev.'!R33</f>
        <v>244692</v>
      </c>
      <c r="T33" s="300">
        <f>'3.sz.m Önk  bev.'!S33</f>
        <v>244692</v>
      </c>
      <c r="U33" s="1368">
        <f t="shared" si="4"/>
        <v>1</v>
      </c>
      <c r="V33" s="388"/>
      <c r="W33" s="300"/>
      <c r="X33" s="300"/>
      <c r="Y33" s="300"/>
      <c r="Z33" s="300"/>
      <c r="AA33" s="300"/>
      <c r="AB33" s="300"/>
      <c r="AC33" s="826"/>
      <c r="AD33" s="341"/>
    </row>
    <row r="34" spans="1:29" ht="21.75" customHeight="1">
      <c r="A34" s="108"/>
      <c r="B34" s="113" t="s">
        <v>46</v>
      </c>
      <c r="C34" s="1100" t="s">
        <v>343</v>
      </c>
      <c r="D34" s="1101"/>
      <c r="E34" s="388">
        <f>'3.sz.m Önk  bev.'!E34</f>
        <v>0</v>
      </c>
      <c r="F34" s="300">
        <f>'3.sz.m Önk  bev.'!F34</f>
        <v>1560</v>
      </c>
      <c r="G34" s="300">
        <f>'3.sz.m Önk  bev.'!G34</f>
        <v>2168</v>
      </c>
      <c r="H34" s="300">
        <f>'3.sz.m Önk  bev.'!H34</f>
        <v>3655</v>
      </c>
      <c r="I34" s="300">
        <f>'3.sz.m Önk  bev.'!I34</f>
        <v>9401</v>
      </c>
      <c r="J34" s="300">
        <f>'3.sz.m Önk  bev.'!J34</f>
        <v>14799</v>
      </c>
      <c r="K34" s="300">
        <f>'3.sz.m Önk  bev.'!K34</f>
        <v>14799</v>
      </c>
      <c r="L34" s="811">
        <f t="shared" si="3"/>
        <v>1</v>
      </c>
      <c r="M34" s="388">
        <f>'3.sz.m Önk  bev.'!M34</f>
        <v>0</v>
      </c>
      <c r="N34" s="300">
        <f>'3.sz.m Önk  bev.'!N34</f>
        <v>1560</v>
      </c>
      <c r="O34" s="300">
        <f>'3.sz.m Önk  bev.'!O34</f>
        <v>2168</v>
      </c>
      <c r="P34" s="300">
        <f>'3.sz.m Önk  bev.'!P34</f>
        <v>3655</v>
      </c>
      <c r="Q34" s="300"/>
      <c r="R34" s="300">
        <f>'3.sz.m Önk  bev.'!Q34</f>
        <v>9401</v>
      </c>
      <c r="S34" s="300">
        <f>'3.sz.m Önk  bev.'!R34</f>
        <v>14799</v>
      </c>
      <c r="T34" s="300">
        <f>'3.sz.m Önk  bev.'!S34</f>
        <v>14799</v>
      </c>
      <c r="U34" s="811">
        <f t="shared" si="4"/>
        <v>1</v>
      </c>
      <c r="V34" s="388"/>
      <c r="W34" s="300"/>
      <c r="X34" s="300"/>
      <c r="Y34" s="300"/>
      <c r="Z34" s="300"/>
      <c r="AA34" s="300"/>
      <c r="AB34" s="300"/>
      <c r="AC34" s="827"/>
    </row>
    <row r="35" spans="1:29" ht="21.75" customHeight="1">
      <c r="A35" s="108"/>
      <c r="B35" s="113" t="s">
        <v>73</v>
      </c>
      <c r="C35" s="1100" t="s">
        <v>517</v>
      </c>
      <c r="D35" s="1100"/>
      <c r="E35" s="388">
        <f>'3.sz.m Önk  bev.'!E35</f>
        <v>0</v>
      </c>
      <c r="F35" s="300">
        <f>'3.sz.m Önk  bev.'!F35</f>
        <v>0</v>
      </c>
      <c r="G35" s="300">
        <f>'3.sz.m Önk  bev.'!G35</f>
        <v>119</v>
      </c>
      <c r="H35" s="300">
        <f>'3.sz.m Önk  bev.'!H35</f>
        <v>119</v>
      </c>
      <c r="I35" s="300">
        <f>'3.sz.m Önk  bev.'!I35</f>
        <v>119</v>
      </c>
      <c r="J35" s="300">
        <f>'3.sz.m Önk  bev.'!J35</f>
        <v>119</v>
      </c>
      <c r="K35" s="300">
        <f>'3.sz.m Önk  bev.'!K35</f>
        <v>119</v>
      </c>
      <c r="L35" s="811">
        <f t="shared" si="3"/>
        <v>1</v>
      </c>
      <c r="M35" s="388">
        <f>'3.sz.m Önk  bev.'!M35</f>
        <v>0</v>
      </c>
      <c r="N35" s="300">
        <f>'3.sz.m Önk  bev.'!N35</f>
        <v>0</v>
      </c>
      <c r="O35" s="300">
        <f>'3.sz.m Önk  bev.'!O35</f>
        <v>119</v>
      </c>
      <c r="P35" s="300">
        <f>'3.sz.m Önk  bev.'!P35</f>
        <v>119</v>
      </c>
      <c r="Q35" s="300"/>
      <c r="R35" s="300">
        <f>'3.sz.m Önk  bev.'!Q35</f>
        <v>119</v>
      </c>
      <c r="S35" s="300">
        <f>'3.sz.m Önk  bev.'!R35</f>
        <v>119</v>
      </c>
      <c r="T35" s="300">
        <f>'3.sz.m Önk  bev.'!S35</f>
        <v>119</v>
      </c>
      <c r="U35" s="811">
        <f t="shared" si="4"/>
        <v>1</v>
      </c>
      <c r="V35" s="388"/>
      <c r="W35" s="300"/>
      <c r="X35" s="300"/>
      <c r="Y35" s="300"/>
      <c r="Z35" s="300"/>
      <c r="AA35" s="300"/>
      <c r="AB35" s="300"/>
      <c r="AC35" s="827"/>
    </row>
    <row r="36" spans="1:29" ht="21.75" customHeight="1">
      <c r="A36" s="108"/>
      <c r="B36" s="113" t="s">
        <v>74</v>
      </c>
      <c r="C36" s="1100" t="s">
        <v>399</v>
      </c>
      <c r="D36" s="1101"/>
      <c r="E36" s="388"/>
      <c r="F36" s="300"/>
      <c r="G36" s="300">
        <f>'3.sz.m Önk  bev.'!G36</f>
        <v>0</v>
      </c>
      <c r="H36" s="300">
        <f>'3.sz.m Önk  bev.'!H36</f>
        <v>0</v>
      </c>
      <c r="I36" s="300">
        <f>'3.sz.m Önk  bev.'!I36</f>
        <v>0</v>
      </c>
      <c r="J36" s="300">
        <f>'3.sz.m Önk  bev.'!J36</f>
        <v>0</v>
      </c>
      <c r="K36" s="300">
        <f>'3.sz.m Önk  bev.'!K36</f>
        <v>0</v>
      </c>
      <c r="L36" s="811"/>
      <c r="M36" s="388"/>
      <c r="N36" s="300"/>
      <c r="O36" s="300"/>
      <c r="P36" s="300"/>
      <c r="Q36" s="300"/>
      <c r="R36" s="300"/>
      <c r="S36" s="300"/>
      <c r="T36" s="300"/>
      <c r="U36" s="811"/>
      <c r="V36" s="388"/>
      <c r="W36" s="300"/>
      <c r="X36" s="300"/>
      <c r="Y36" s="300"/>
      <c r="Z36" s="300"/>
      <c r="AA36" s="300"/>
      <c r="AB36" s="300"/>
      <c r="AC36" s="827"/>
    </row>
    <row r="37" spans="1:29" ht="45.75" customHeight="1">
      <c r="A37" s="108"/>
      <c r="B37" s="113" t="s">
        <v>395</v>
      </c>
      <c r="C37" s="1100" t="s">
        <v>344</v>
      </c>
      <c r="D37" s="1101"/>
      <c r="E37" s="388">
        <f aca="true" t="shared" si="12" ref="E37:P37">SUM(E38:E40)</f>
        <v>32299</v>
      </c>
      <c r="F37" s="300">
        <f t="shared" si="12"/>
        <v>36779</v>
      </c>
      <c r="G37" s="300">
        <f t="shared" si="12"/>
        <v>34223</v>
      </c>
      <c r="H37" s="300">
        <f t="shared" si="12"/>
        <v>33016</v>
      </c>
      <c r="I37" s="300">
        <f t="shared" si="12"/>
        <v>31391</v>
      </c>
      <c r="J37" s="300">
        <f t="shared" si="12"/>
        <v>29758</v>
      </c>
      <c r="K37" s="300">
        <f>SUM(K38:K40)</f>
        <v>29645</v>
      </c>
      <c r="L37" s="811">
        <f t="shared" si="3"/>
        <v>0.9962027017944755</v>
      </c>
      <c r="M37" s="388">
        <f t="shared" si="12"/>
        <v>32299</v>
      </c>
      <c r="N37" s="300">
        <f t="shared" si="12"/>
        <v>36779</v>
      </c>
      <c r="O37" s="300">
        <f t="shared" si="12"/>
        <v>34223</v>
      </c>
      <c r="P37" s="300">
        <f t="shared" si="12"/>
        <v>33016</v>
      </c>
      <c r="Q37" s="300"/>
      <c r="R37" s="300">
        <f>SUM(R38:R40)</f>
        <v>31391</v>
      </c>
      <c r="S37" s="300">
        <f>SUM(S38:S40)</f>
        <v>29758</v>
      </c>
      <c r="T37" s="300">
        <f>SUM(T38:T40)</f>
        <v>29645</v>
      </c>
      <c r="U37" s="811">
        <f t="shared" si="4"/>
        <v>0.9962027017944755</v>
      </c>
      <c r="V37" s="388"/>
      <c r="W37" s="300"/>
      <c r="X37" s="300"/>
      <c r="Y37" s="300"/>
      <c r="Z37" s="300"/>
      <c r="AA37" s="300"/>
      <c r="AB37" s="300"/>
      <c r="AC37" s="827"/>
    </row>
    <row r="38" spans="1:29" ht="21.75" customHeight="1">
      <c r="A38" s="108"/>
      <c r="B38" s="113"/>
      <c r="C38" s="110" t="s">
        <v>396</v>
      </c>
      <c r="D38" s="658" t="s">
        <v>36</v>
      </c>
      <c r="E38" s="388">
        <f>'3.sz.m Önk  bev.'!E38</f>
        <v>7919</v>
      </c>
      <c r="F38" s="300">
        <f>'3.sz.m Önk  bev.'!F38</f>
        <v>7919</v>
      </c>
      <c r="G38" s="300">
        <f>'3.sz.m Önk  bev.'!G38</f>
        <v>7919</v>
      </c>
      <c r="H38" s="300">
        <f>'3.sz.m Önk  bev.'!H38</f>
        <v>7919</v>
      </c>
      <c r="I38" s="300">
        <f>'3.sz.m Önk  bev.'!I38</f>
        <v>7919</v>
      </c>
      <c r="J38" s="300">
        <f>'3.sz.m Önk  bev.'!J38</f>
        <v>7871</v>
      </c>
      <c r="K38" s="300">
        <f>'3.sz.m Önk  bev.'!K38</f>
        <v>7871</v>
      </c>
      <c r="L38" s="811">
        <f t="shared" si="3"/>
        <v>1</v>
      </c>
      <c r="M38" s="388">
        <f>'3.sz.m Önk  bev.'!M38</f>
        <v>7919</v>
      </c>
      <c r="N38" s="300">
        <f>'3.sz.m Önk  bev.'!N38</f>
        <v>7919</v>
      </c>
      <c r="O38" s="300">
        <f>'3.sz.m Önk  bev.'!O38</f>
        <v>7919</v>
      </c>
      <c r="P38" s="300">
        <f>'3.sz.m Önk  bev.'!P38</f>
        <v>7919</v>
      </c>
      <c r="Q38" s="300"/>
      <c r="R38" s="300">
        <f>'3.sz.m Önk  bev.'!Q38</f>
        <v>7919</v>
      </c>
      <c r="S38" s="300">
        <f>'3.sz.m Önk  bev.'!R38</f>
        <v>7871</v>
      </c>
      <c r="T38" s="300">
        <f>'3.sz.m Önk  bev.'!S38</f>
        <v>7871</v>
      </c>
      <c r="U38" s="811">
        <f t="shared" si="4"/>
        <v>1</v>
      </c>
      <c r="V38" s="388"/>
      <c r="W38" s="300"/>
      <c r="X38" s="300"/>
      <c r="Y38" s="300"/>
      <c r="Z38" s="300"/>
      <c r="AA38" s="300"/>
      <c r="AB38" s="300"/>
      <c r="AC38" s="827"/>
    </row>
    <row r="39" spans="1:29" ht="21.75" customHeight="1">
      <c r="A39" s="108"/>
      <c r="B39" s="113"/>
      <c r="C39" s="104" t="s">
        <v>397</v>
      </c>
      <c r="D39" s="346" t="s">
        <v>35</v>
      </c>
      <c r="E39" s="388">
        <f>'3.sz.m Önk  bev.'!E39+'5.2 sz. m ÁMK'!D12</f>
        <v>0</v>
      </c>
      <c r="F39" s="300">
        <f>'3.sz.m Önk  bev.'!F39+'5.2 sz. m ÁMK'!E12</f>
        <v>0</v>
      </c>
      <c r="G39" s="300">
        <f>'3.sz.m Önk  bev.'!G39+'5.2 sz. m ÁMK'!F12</f>
        <v>0</v>
      </c>
      <c r="H39" s="300">
        <f>'3.sz.m Önk  bev.'!H39+'5.2 sz. m ÁMK'!G12</f>
        <v>0</v>
      </c>
      <c r="I39" s="300">
        <f>'3.sz.m Önk  bev.'!I39+'5.2 sz. m ÁMK'!H12</f>
        <v>0</v>
      </c>
      <c r="J39" s="300">
        <f>'3.sz.m Önk  bev.'!J39+'5.2 sz. m ÁMK'!I12</f>
        <v>0</v>
      </c>
      <c r="K39" s="300">
        <f>'3.sz.m Önk  bev.'!K39+'5.2 sz. m ÁMK'!J12</f>
        <v>0</v>
      </c>
      <c r="L39" s="811"/>
      <c r="M39" s="388">
        <f>'3.sz.m Önk  bev.'!M39+'5.2 sz. m ÁMK'!L12</f>
        <v>0</v>
      </c>
      <c r="N39" s="300">
        <f>'3.sz.m Önk  bev.'!N39+'5.2 sz. m ÁMK'!M12</f>
        <v>0</v>
      </c>
      <c r="O39" s="300">
        <f>'3.sz.m Önk  bev.'!O39+'5.2 sz. m ÁMK'!N12</f>
        <v>0</v>
      </c>
      <c r="P39" s="300">
        <f>'3.sz.m Önk  bev.'!P39+'5.2 sz. m ÁMK'!O12</f>
        <v>0</v>
      </c>
      <c r="Q39" s="300"/>
      <c r="R39" s="300">
        <f>'3.sz.m Önk  bev.'!Q39+'5.2 sz. m ÁMK'!P12</f>
        <v>0</v>
      </c>
      <c r="S39" s="300">
        <f>'3.sz.m Önk  bev.'!R39+'5.2 sz. m ÁMK'!Q12</f>
        <v>0</v>
      </c>
      <c r="T39" s="300">
        <f>'3.sz.m Önk  bev.'!S39+'5.2 sz. m ÁMK'!R12</f>
        <v>0</v>
      </c>
      <c r="U39" s="811"/>
      <c r="V39" s="388"/>
      <c r="W39" s="300"/>
      <c r="X39" s="300"/>
      <c r="Y39" s="300"/>
      <c r="Z39" s="300"/>
      <c r="AA39" s="300"/>
      <c r="AB39" s="300"/>
      <c r="AC39" s="827"/>
    </row>
    <row r="40" spans="1:29" ht="21.75" customHeight="1" thickBot="1">
      <c r="A40" s="108"/>
      <c r="B40" s="113"/>
      <c r="C40" s="104" t="s">
        <v>398</v>
      </c>
      <c r="D40" s="346" t="s">
        <v>37</v>
      </c>
      <c r="E40" s="388">
        <f>'3.sz.m Önk  bev.'!E40</f>
        <v>24380</v>
      </c>
      <c r="F40" s="300">
        <f>'3.sz.m Önk  bev.'!F40</f>
        <v>28860</v>
      </c>
      <c r="G40" s="300">
        <f>'3.sz.m Önk  bev.'!G40+'5.1 sz. m Köz Hiv'!F12</f>
        <v>26304</v>
      </c>
      <c r="H40" s="300">
        <f>'3.sz.m Önk  bev.'!H40+'5.1 sz. m Köz Hiv'!G12</f>
        <v>25097</v>
      </c>
      <c r="I40" s="300">
        <f>'3.sz.m Önk  bev.'!I40+'5.1 sz. m Köz Hiv'!H12</f>
        <v>23472</v>
      </c>
      <c r="J40" s="300">
        <f>'3.sz.m Önk  bev.'!J40+'5.1 sz. m Köz Hiv'!I12</f>
        <v>21887</v>
      </c>
      <c r="K40" s="300">
        <f>'3.sz.m Önk  bev.'!K40+'5.1 sz. m Köz Hiv'!J12</f>
        <v>21774</v>
      </c>
      <c r="L40" s="812">
        <f t="shared" si="3"/>
        <v>0.9948371179238817</v>
      </c>
      <c r="M40" s="388">
        <f>'3.sz.m Önk  bev.'!M40</f>
        <v>24380</v>
      </c>
      <c r="N40" s="300">
        <f>'3.sz.m Önk  bev.'!N40</f>
        <v>28860</v>
      </c>
      <c r="O40" s="300">
        <f>'3.sz.m Önk  bev.'!O40</f>
        <v>26304</v>
      </c>
      <c r="P40" s="300">
        <f>'3.sz.m Önk  bev.'!P40</f>
        <v>25097</v>
      </c>
      <c r="Q40" s="300"/>
      <c r="R40" s="300">
        <f>'3.sz.m Önk  bev.'!Q40</f>
        <v>23472</v>
      </c>
      <c r="S40" s="300">
        <f>'3.sz.m Önk  bev.'!R40+'5.1 sz. m Köz Hiv'!Q12</f>
        <v>21887</v>
      </c>
      <c r="T40" s="300">
        <f>'3.sz.m Önk  bev.'!S40+'5.1 sz. m Köz Hiv'!R12</f>
        <v>21774</v>
      </c>
      <c r="U40" s="812">
        <f t="shared" si="4"/>
        <v>0.9948371179238817</v>
      </c>
      <c r="V40" s="388"/>
      <c r="W40" s="300"/>
      <c r="X40" s="300"/>
      <c r="Y40" s="300"/>
      <c r="Z40" s="300"/>
      <c r="AA40" s="300"/>
      <c r="AB40" s="300"/>
      <c r="AC40" s="828"/>
    </row>
    <row r="41" spans="1:29" ht="33" customHeight="1" thickBot="1">
      <c r="A41" s="115" t="s">
        <v>11</v>
      </c>
      <c r="B41" s="1114" t="s">
        <v>345</v>
      </c>
      <c r="C41" s="1114"/>
      <c r="D41" s="1114"/>
      <c r="E41" s="378">
        <f>SUM(E42:E43)</f>
        <v>35508</v>
      </c>
      <c r="F41" s="118">
        <f aca="true" t="shared" si="13" ref="F41:K41">SUM(F42:F43)+F47</f>
        <v>35508</v>
      </c>
      <c r="G41" s="118">
        <f t="shared" si="13"/>
        <v>35508</v>
      </c>
      <c r="H41" s="118">
        <f t="shared" si="13"/>
        <v>35508</v>
      </c>
      <c r="I41" s="118">
        <f t="shared" si="13"/>
        <v>35508</v>
      </c>
      <c r="J41" s="118">
        <f t="shared" si="13"/>
        <v>32330</v>
      </c>
      <c r="K41" s="118">
        <f t="shared" si="13"/>
        <v>32330</v>
      </c>
      <c r="L41" s="825">
        <f t="shared" si="3"/>
        <v>1</v>
      </c>
      <c r="M41" s="378">
        <f>SUM(M42:M43)</f>
        <v>35508</v>
      </c>
      <c r="N41" s="118">
        <f>SUM(N42:N43)</f>
        <v>35508</v>
      </c>
      <c r="O41" s="118">
        <f>SUM(O42:O43)</f>
        <v>35508</v>
      </c>
      <c r="P41" s="118">
        <f>SUM(P42:P43)</f>
        <v>35508</v>
      </c>
      <c r="Q41" s="118"/>
      <c r="R41" s="118">
        <f>SUM(R42:R43)</f>
        <v>35508</v>
      </c>
      <c r="S41" s="118">
        <f>SUM(S42:S43)</f>
        <v>32330</v>
      </c>
      <c r="T41" s="118">
        <f>SUM(T42:T43)</f>
        <v>32330</v>
      </c>
      <c r="U41" s="825">
        <f t="shared" si="4"/>
        <v>1</v>
      </c>
      <c r="V41" s="378">
        <f aca="true" t="shared" si="14" ref="V41:AA41">SUM(V42:V43)</f>
        <v>0</v>
      </c>
      <c r="W41" s="118">
        <f t="shared" si="14"/>
        <v>0</v>
      </c>
      <c r="X41" s="118">
        <f t="shared" si="14"/>
        <v>0</v>
      </c>
      <c r="Y41" s="118">
        <f t="shared" si="14"/>
        <v>0</v>
      </c>
      <c r="Z41" s="118">
        <f t="shared" si="14"/>
        <v>0</v>
      </c>
      <c r="AA41" s="118">
        <f t="shared" si="14"/>
        <v>0</v>
      </c>
      <c r="AB41" s="118">
        <f>SUM(AB42:AB43)</f>
        <v>0</v>
      </c>
      <c r="AC41" s="825"/>
    </row>
    <row r="42" spans="1:29" ht="21.75" customHeight="1">
      <c r="A42" s="109"/>
      <c r="B42" s="116" t="s">
        <v>346</v>
      </c>
      <c r="C42" s="1111" t="s">
        <v>348</v>
      </c>
      <c r="D42" s="1111"/>
      <c r="E42" s="388">
        <f>'3.sz.m Önk  bev.'!E42</f>
        <v>0</v>
      </c>
      <c r="F42" s="300">
        <f>'3.sz.m Önk  bev.'!F42</f>
        <v>0</v>
      </c>
      <c r="G42" s="300">
        <f>'3.sz.m Önk  bev.'!G42</f>
        <v>0</v>
      </c>
      <c r="H42" s="300">
        <f>'3.sz.m Önk  bev.'!H42</f>
        <v>0</v>
      </c>
      <c r="I42" s="300">
        <f>'3.sz.m Önk  bev.'!I42</f>
        <v>0</v>
      </c>
      <c r="J42" s="300">
        <f>'3.sz.m Önk  bev.'!J42</f>
        <v>0</v>
      </c>
      <c r="K42" s="300">
        <f>'3.sz.m Önk  bev.'!K42</f>
        <v>0</v>
      </c>
      <c r="L42" s="829"/>
      <c r="M42" s="388">
        <f>'3.sz.m Önk  bev.'!M42</f>
        <v>0</v>
      </c>
      <c r="N42" s="300">
        <f>'3.sz.m Önk  bev.'!N42</f>
        <v>0</v>
      </c>
      <c r="O42" s="300">
        <f>'3.sz.m Önk  bev.'!O42</f>
        <v>0</v>
      </c>
      <c r="P42" s="300">
        <f>'3.sz.m Önk  bev.'!P42</f>
        <v>0</v>
      </c>
      <c r="Q42" s="300"/>
      <c r="R42" s="300">
        <f>'3.sz.m Önk  bev.'!Q42</f>
        <v>0</v>
      </c>
      <c r="S42" s="300">
        <f>'3.sz.m Önk  bev.'!R42</f>
        <v>0</v>
      </c>
      <c r="T42" s="300">
        <f>'3.sz.m Önk  bev.'!S42</f>
        <v>0</v>
      </c>
      <c r="U42" s="829"/>
      <c r="V42" s="388"/>
      <c r="W42" s="300"/>
      <c r="X42" s="300"/>
      <c r="Y42" s="300"/>
      <c r="Z42" s="300"/>
      <c r="AA42" s="300"/>
      <c r="AB42" s="300"/>
      <c r="AC42" s="829"/>
    </row>
    <row r="43" spans="1:29" ht="21.75" customHeight="1">
      <c r="A43" s="108"/>
      <c r="B43" s="105" t="s">
        <v>347</v>
      </c>
      <c r="C43" s="1100" t="s">
        <v>349</v>
      </c>
      <c r="D43" s="1100"/>
      <c r="E43" s="388">
        <f aca="true" t="shared" si="15" ref="E43:P43">SUM(E44:E46)</f>
        <v>35508</v>
      </c>
      <c r="F43" s="300">
        <f t="shared" si="15"/>
        <v>35508</v>
      </c>
      <c r="G43" s="300">
        <f t="shared" si="15"/>
        <v>35508</v>
      </c>
      <c r="H43" s="300">
        <f t="shared" si="15"/>
        <v>35508</v>
      </c>
      <c r="I43" s="300">
        <f t="shared" si="15"/>
        <v>35508</v>
      </c>
      <c r="J43" s="300">
        <f t="shared" si="15"/>
        <v>32330</v>
      </c>
      <c r="K43" s="300">
        <f>SUM(K44:K46)</f>
        <v>32330</v>
      </c>
      <c r="L43" s="811">
        <f t="shared" si="3"/>
        <v>1</v>
      </c>
      <c r="M43" s="388">
        <f t="shared" si="15"/>
        <v>35508</v>
      </c>
      <c r="N43" s="300">
        <f t="shared" si="15"/>
        <v>35508</v>
      </c>
      <c r="O43" s="300">
        <f t="shared" si="15"/>
        <v>35508</v>
      </c>
      <c r="P43" s="300">
        <f t="shared" si="15"/>
        <v>35508</v>
      </c>
      <c r="Q43" s="300"/>
      <c r="R43" s="300">
        <f>SUM(R44:R46)</f>
        <v>35508</v>
      </c>
      <c r="S43" s="300">
        <f>SUM(S44:S46)</f>
        <v>32330</v>
      </c>
      <c r="T43" s="300">
        <f>SUM(T44:T46)</f>
        <v>32330</v>
      </c>
      <c r="U43" s="811">
        <f t="shared" si="4"/>
        <v>1</v>
      </c>
      <c r="V43" s="388"/>
      <c r="W43" s="300"/>
      <c r="X43" s="300"/>
      <c r="Y43" s="300"/>
      <c r="Z43" s="300"/>
      <c r="AA43" s="300"/>
      <c r="AB43" s="300"/>
      <c r="AC43" s="811"/>
    </row>
    <row r="44" spans="1:29" ht="21.75" customHeight="1">
      <c r="A44" s="108"/>
      <c r="B44" s="116"/>
      <c r="C44" s="110" t="s">
        <v>350</v>
      </c>
      <c r="D44" s="658" t="s">
        <v>36</v>
      </c>
      <c r="E44" s="388">
        <f>'3.sz.m Önk  bev.'!E44</f>
        <v>0</v>
      </c>
      <c r="F44" s="300">
        <f>'3.sz.m Önk  bev.'!F44</f>
        <v>0</v>
      </c>
      <c r="G44" s="300">
        <f>'3.sz.m Önk  bev.'!G44</f>
        <v>0</v>
      </c>
      <c r="H44" s="300">
        <f>'3.sz.m Önk  bev.'!H44</f>
        <v>0</v>
      </c>
      <c r="I44" s="300">
        <f>'3.sz.m Önk  bev.'!I44</f>
        <v>0</v>
      </c>
      <c r="J44" s="300">
        <f>'3.sz.m Önk  bev.'!J44</f>
        <v>0</v>
      </c>
      <c r="K44" s="300">
        <f>'3.sz.m Önk  bev.'!K44</f>
        <v>0</v>
      </c>
      <c r="L44" s="811"/>
      <c r="M44" s="388">
        <f>'3.sz.m Önk  bev.'!M44</f>
        <v>0</v>
      </c>
      <c r="N44" s="300">
        <f>'3.sz.m Önk  bev.'!N44</f>
        <v>0</v>
      </c>
      <c r="O44" s="300">
        <f>'3.sz.m Önk  bev.'!O44</f>
        <v>0</v>
      </c>
      <c r="P44" s="300">
        <f>'3.sz.m Önk  bev.'!P44</f>
        <v>0</v>
      </c>
      <c r="Q44" s="300"/>
      <c r="R44" s="300">
        <f>'3.sz.m Önk  bev.'!Q44</f>
        <v>0</v>
      </c>
      <c r="S44" s="300">
        <f>'3.sz.m Önk  bev.'!R44</f>
        <v>0</v>
      </c>
      <c r="T44" s="300">
        <f>'3.sz.m Önk  bev.'!S44</f>
        <v>0</v>
      </c>
      <c r="U44" s="811"/>
      <c r="V44" s="388"/>
      <c r="W44" s="300"/>
      <c r="X44" s="300"/>
      <c r="Y44" s="300"/>
      <c r="Z44" s="300"/>
      <c r="AA44" s="300"/>
      <c r="AB44" s="300"/>
      <c r="AC44" s="811"/>
    </row>
    <row r="45" spans="1:29" ht="21.75" customHeight="1">
      <c r="A45" s="108"/>
      <c r="B45" s="105"/>
      <c r="C45" s="104" t="s">
        <v>351</v>
      </c>
      <c r="D45" s="658" t="s">
        <v>35</v>
      </c>
      <c r="E45" s="388">
        <f>'3.sz.m Önk  bev.'!E45</f>
        <v>0</v>
      </c>
      <c r="F45" s="300">
        <f>'3.sz.m Önk  bev.'!F45</f>
        <v>0</v>
      </c>
      <c r="G45" s="300">
        <f>'3.sz.m Önk  bev.'!G45</f>
        <v>0</v>
      </c>
      <c r="H45" s="300">
        <f>'3.sz.m Önk  bev.'!H45</f>
        <v>28721</v>
      </c>
      <c r="I45" s="300">
        <f>'3.sz.m Önk  bev.'!I45</f>
        <v>28721</v>
      </c>
      <c r="J45" s="300">
        <f>'3.sz.m Önk  bev.'!J45</f>
        <v>0</v>
      </c>
      <c r="K45" s="300">
        <f>'3.sz.m Önk  bev.'!K45</f>
        <v>0</v>
      </c>
      <c r="L45" s="811"/>
      <c r="M45" s="388">
        <f>'3.sz.m Önk  bev.'!M45</f>
        <v>0</v>
      </c>
      <c r="N45" s="300">
        <f>'3.sz.m Önk  bev.'!N45</f>
        <v>0</v>
      </c>
      <c r="O45" s="300">
        <f>'3.sz.m Önk  bev.'!O45</f>
        <v>0</v>
      </c>
      <c r="P45" s="300">
        <f>'3.sz.m Önk  bev.'!P45</f>
        <v>28721</v>
      </c>
      <c r="Q45" s="300"/>
      <c r="R45" s="300">
        <f>'3.sz.m Önk  bev.'!Q45</f>
        <v>28721</v>
      </c>
      <c r="S45" s="300">
        <f>'3.sz.m Önk  bev.'!R45</f>
        <v>0</v>
      </c>
      <c r="T45" s="300">
        <f>'3.sz.m Önk  bev.'!S45</f>
        <v>0</v>
      </c>
      <c r="U45" s="811"/>
      <c r="V45" s="388"/>
      <c r="W45" s="300"/>
      <c r="X45" s="300"/>
      <c r="Y45" s="300"/>
      <c r="Z45" s="300"/>
      <c r="AA45" s="300"/>
      <c r="AB45" s="300"/>
      <c r="AC45" s="811"/>
    </row>
    <row r="46" spans="1:29" ht="21.75" customHeight="1">
      <c r="A46" s="112"/>
      <c r="B46" s="116"/>
      <c r="C46" s="110" t="s">
        <v>352</v>
      </c>
      <c r="D46" s="658" t="s">
        <v>353</v>
      </c>
      <c r="E46" s="388">
        <f>'3.sz.m Önk  bev.'!E46</f>
        <v>35508</v>
      </c>
      <c r="F46" s="300">
        <f>'3.sz.m Önk  bev.'!F46</f>
        <v>35508</v>
      </c>
      <c r="G46" s="300">
        <f>'3.sz.m Önk  bev.'!G46</f>
        <v>35508</v>
      </c>
      <c r="H46" s="300">
        <f>'3.sz.m Önk  bev.'!H46</f>
        <v>6787</v>
      </c>
      <c r="I46" s="300">
        <f>'3.sz.m Önk  bev.'!I46</f>
        <v>6787</v>
      </c>
      <c r="J46" s="300">
        <f>'3.sz.m Önk  bev.'!J46</f>
        <v>32330</v>
      </c>
      <c r="K46" s="300">
        <f>'3.sz.m Önk  bev.'!K46</f>
        <v>32330</v>
      </c>
      <c r="L46" s="811">
        <f t="shared" si="3"/>
        <v>1</v>
      </c>
      <c r="M46" s="388">
        <f>'3.sz.m Önk  bev.'!M46</f>
        <v>35508</v>
      </c>
      <c r="N46" s="300">
        <f>'3.sz.m Önk  bev.'!N46</f>
        <v>35508</v>
      </c>
      <c r="O46" s="300">
        <f>'3.sz.m Önk  bev.'!O46</f>
        <v>35508</v>
      </c>
      <c r="P46" s="300">
        <f>'3.sz.m Önk  bev.'!P46</f>
        <v>6787</v>
      </c>
      <c r="Q46" s="300"/>
      <c r="R46" s="300">
        <f>'3.sz.m Önk  bev.'!Q46</f>
        <v>6787</v>
      </c>
      <c r="S46" s="300">
        <f>'3.sz.m Önk  bev.'!R46</f>
        <v>32330</v>
      </c>
      <c r="T46" s="300">
        <f>'3.sz.m Önk  bev.'!S46</f>
        <v>32330</v>
      </c>
      <c r="U46" s="811">
        <f t="shared" si="4"/>
        <v>1</v>
      </c>
      <c r="V46" s="388"/>
      <c r="W46" s="300"/>
      <c r="X46" s="300"/>
      <c r="Y46" s="300"/>
      <c r="Z46" s="300"/>
      <c r="AA46" s="300"/>
      <c r="AB46" s="300"/>
      <c r="AC46" s="811"/>
    </row>
    <row r="47" spans="1:29" ht="21.75" customHeight="1" thickBot="1">
      <c r="A47" s="394"/>
      <c r="B47" s="105" t="s">
        <v>384</v>
      </c>
      <c r="C47" s="1100" t="s">
        <v>385</v>
      </c>
      <c r="D47" s="1101"/>
      <c r="E47" s="388"/>
      <c r="F47" s="300">
        <f>'3.sz.m Önk  bev.'!F47</f>
        <v>0</v>
      </c>
      <c r="G47" s="300">
        <f>'3.sz.m Önk  bev.'!G47</f>
        <v>0</v>
      </c>
      <c r="H47" s="300">
        <f>'3.sz.m Önk  bev.'!H47</f>
        <v>0</v>
      </c>
      <c r="I47" s="300">
        <f>'3.sz.m Önk  bev.'!I47</f>
        <v>0</v>
      </c>
      <c r="J47" s="300">
        <f>'3.sz.m Önk  bev.'!J47</f>
        <v>0</v>
      </c>
      <c r="K47" s="300">
        <f>'3.sz.m Önk  bev.'!K47</f>
        <v>0</v>
      </c>
      <c r="L47" s="811"/>
      <c r="M47" s="388"/>
      <c r="N47" s="300"/>
      <c r="O47" s="300"/>
      <c r="P47" s="300"/>
      <c r="Q47" s="300"/>
      <c r="R47" s="300"/>
      <c r="S47" s="300"/>
      <c r="T47" s="300"/>
      <c r="U47" s="811"/>
      <c r="V47" s="388"/>
      <c r="W47" s="300"/>
      <c r="X47" s="300"/>
      <c r="Y47" s="300"/>
      <c r="Z47" s="300"/>
      <c r="AA47" s="300"/>
      <c r="AB47" s="300"/>
      <c r="AC47" s="811"/>
    </row>
    <row r="48" spans="1:29" ht="21.75" customHeight="1" hidden="1" thickBot="1">
      <c r="A48" s="394"/>
      <c r="B48" s="116"/>
      <c r="C48" s="1107"/>
      <c r="D48" s="1108"/>
      <c r="E48" s="600"/>
      <c r="F48" s="601"/>
      <c r="G48" s="601"/>
      <c r="H48" s="601"/>
      <c r="I48" s="601"/>
      <c r="J48" s="601"/>
      <c r="K48" s="601"/>
      <c r="L48" s="812" t="e">
        <f t="shared" si="3"/>
        <v>#DIV/0!</v>
      </c>
      <c r="M48" s="600"/>
      <c r="N48" s="601"/>
      <c r="O48" s="601"/>
      <c r="P48" s="601"/>
      <c r="Q48" s="601"/>
      <c r="R48" s="601"/>
      <c r="S48" s="601"/>
      <c r="T48" s="601"/>
      <c r="U48" s="812" t="e">
        <f t="shared" si="4"/>
        <v>#DIV/0!</v>
      </c>
      <c r="V48" s="600"/>
      <c r="W48" s="601"/>
      <c r="X48" s="601"/>
      <c r="Y48" s="601"/>
      <c r="Z48" s="601"/>
      <c r="AA48" s="601"/>
      <c r="AB48" s="601"/>
      <c r="AC48" s="812"/>
    </row>
    <row r="49" spans="1:29" ht="21.75" customHeight="1" thickBot="1">
      <c r="A49" s="115" t="s">
        <v>12</v>
      </c>
      <c r="B49" s="1104" t="s">
        <v>80</v>
      </c>
      <c r="C49" s="1104"/>
      <c r="D49" s="1104"/>
      <c r="E49" s="378">
        <f aca="true" t="shared" si="16" ref="E49:P49">E50+E51</f>
        <v>60</v>
      </c>
      <c r="F49" s="118">
        <f t="shared" si="16"/>
        <v>60</v>
      </c>
      <c r="G49" s="118">
        <f t="shared" si="16"/>
        <v>405</v>
      </c>
      <c r="H49" s="118">
        <f t="shared" si="16"/>
        <v>805</v>
      </c>
      <c r="I49" s="118">
        <f t="shared" si="16"/>
        <v>805</v>
      </c>
      <c r="J49" s="118">
        <f t="shared" si="16"/>
        <v>830</v>
      </c>
      <c r="K49" s="118">
        <f>K50+K51</f>
        <v>830</v>
      </c>
      <c r="L49" s="825">
        <f t="shared" si="3"/>
        <v>1</v>
      </c>
      <c r="M49" s="378">
        <f t="shared" si="16"/>
        <v>60</v>
      </c>
      <c r="N49" s="118">
        <f t="shared" si="16"/>
        <v>60</v>
      </c>
      <c r="O49" s="118">
        <f t="shared" si="16"/>
        <v>405</v>
      </c>
      <c r="P49" s="118">
        <f t="shared" si="16"/>
        <v>805</v>
      </c>
      <c r="Q49" s="118"/>
      <c r="R49" s="118">
        <f>R50+R51</f>
        <v>805</v>
      </c>
      <c r="S49" s="118">
        <f>S50+S51</f>
        <v>830</v>
      </c>
      <c r="T49" s="118">
        <f>T50+T51</f>
        <v>830</v>
      </c>
      <c r="U49" s="825">
        <f t="shared" si="4"/>
        <v>1</v>
      </c>
      <c r="V49" s="378">
        <f aca="true" t="shared" si="17" ref="V49:AA49">V50+V51</f>
        <v>0</v>
      </c>
      <c r="W49" s="118">
        <f t="shared" si="17"/>
        <v>0</v>
      </c>
      <c r="X49" s="118">
        <f t="shared" si="17"/>
        <v>0</v>
      </c>
      <c r="Y49" s="118">
        <f t="shared" si="17"/>
        <v>0</v>
      </c>
      <c r="Z49" s="118">
        <f t="shared" si="17"/>
        <v>0</v>
      </c>
      <c r="AA49" s="118">
        <f t="shared" si="17"/>
        <v>0</v>
      </c>
      <c r="AB49" s="118">
        <f>AB50+AB51</f>
        <v>0</v>
      </c>
      <c r="AC49" s="825"/>
    </row>
    <row r="50" spans="1:29" s="7" customFormat="1" ht="21.75" customHeight="1">
      <c r="A50" s="117"/>
      <c r="B50" s="116" t="s">
        <v>47</v>
      </c>
      <c r="C50" s="1111" t="s">
        <v>78</v>
      </c>
      <c r="D50" s="1111"/>
      <c r="E50" s="388">
        <f>'3.sz.m Önk  bev.'!E50</f>
        <v>60</v>
      </c>
      <c r="F50" s="300">
        <f>'3.sz.m Önk  bev.'!F50</f>
        <v>60</v>
      </c>
      <c r="G50" s="300">
        <f>'3.sz.m Önk  bev.'!G50</f>
        <v>405</v>
      </c>
      <c r="H50" s="300">
        <f>'3.sz.m Önk  bev.'!H50</f>
        <v>805</v>
      </c>
      <c r="I50" s="300">
        <f>'3.sz.m Önk  bev.'!I50</f>
        <v>805</v>
      </c>
      <c r="J50" s="300">
        <f>'3.sz.m Önk  bev.'!J50+'5.2 sz. m ÁMK'!I16</f>
        <v>830</v>
      </c>
      <c r="K50" s="300">
        <f>'3.sz.m Önk  bev.'!K50+'5.2 sz. m ÁMK'!J16</f>
        <v>830</v>
      </c>
      <c r="L50" s="811">
        <f t="shared" si="3"/>
        <v>1</v>
      </c>
      <c r="M50" s="388">
        <f>'3.sz.m Önk  bev.'!M50</f>
        <v>60</v>
      </c>
      <c r="N50" s="300">
        <f>'3.sz.m Önk  bev.'!N50</f>
        <v>60</v>
      </c>
      <c r="O50" s="300">
        <f>'3.sz.m Önk  bev.'!O50</f>
        <v>405</v>
      </c>
      <c r="P50" s="300">
        <f>'3.sz.m Önk  bev.'!P50</f>
        <v>805</v>
      </c>
      <c r="Q50" s="300"/>
      <c r="R50" s="300">
        <f>'3.sz.m Önk  bev.'!Q50</f>
        <v>805</v>
      </c>
      <c r="S50" s="300">
        <f>'3.sz.m Önk  bev.'!R50+'5.2 sz. m ÁMK'!Q16</f>
        <v>830</v>
      </c>
      <c r="T50" s="300">
        <f>'3.sz.m Önk  bev.'!S50+'5.2 sz. m ÁMK'!R16</f>
        <v>830</v>
      </c>
      <c r="U50" s="811">
        <f t="shared" si="4"/>
        <v>1</v>
      </c>
      <c r="V50" s="388"/>
      <c r="W50" s="300"/>
      <c r="X50" s="300"/>
      <c r="Y50" s="300"/>
      <c r="Z50" s="300"/>
      <c r="AA50" s="300"/>
      <c r="AB50" s="300"/>
      <c r="AC50" s="811"/>
    </row>
    <row r="51" spans="1:29" ht="21.75" customHeight="1" thickBot="1">
      <c r="A51" s="108"/>
      <c r="B51" s="104" t="s">
        <v>48</v>
      </c>
      <c r="C51" s="1100" t="s">
        <v>79</v>
      </c>
      <c r="D51" s="1100"/>
      <c r="E51" s="388">
        <f>'3.sz.m Önk  bev.'!E51</f>
        <v>0</v>
      </c>
      <c r="F51" s="300">
        <f>'3.sz.m Önk  bev.'!F51</f>
        <v>0</v>
      </c>
      <c r="G51" s="300">
        <f>'3.sz.m Önk  bev.'!G51</f>
        <v>0</v>
      </c>
      <c r="H51" s="300">
        <f>'3.sz.m Önk  bev.'!H51</f>
        <v>0</v>
      </c>
      <c r="I51" s="300">
        <f>'3.sz.m Önk  bev.'!I51</f>
        <v>0</v>
      </c>
      <c r="J51" s="300">
        <f>'3.sz.m Önk  bev.'!J51</f>
        <v>0</v>
      </c>
      <c r="K51" s="300">
        <f>'3.sz.m Önk  bev.'!K51</f>
        <v>0</v>
      </c>
      <c r="L51" s="830"/>
      <c r="M51" s="388">
        <f>'3.sz.m Önk  bev.'!M51</f>
        <v>0</v>
      </c>
      <c r="N51" s="300">
        <f>'3.sz.m Önk  bev.'!N51</f>
        <v>0</v>
      </c>
      <c r="O51" s="300">
        <f>'3.sz.m Önk  bev.'!O51</f>
        <v>0</v>
      </c>
      <c r="P51" s="300">
        <f>'3.sz.m Önk  bev.'!P51</f>
        <v>0</v>
      </c>
      <c r="Q51" s="300"/>
      <c r="R51" s="300">
        <f>'3.sz.m Önk  bev.'!Q51</f>
        <v>0</v>
      </c>
      <c r="S51" s="300">
        <f>'3.sz.m Önk  bev.'!R51</f>
        <v>0</v>
      </c>
      <c r="T51" s="300">
        <f>'3.sz.m Önk  bev.'!S51</f>
        <v>0</v>
      </c>
      <c r="U51" s="830"/>
      <c r="V51" s="388"/>
      <c r="W51" s="300"/>
      <c r="X51" s="300"/>
      <c r="Y51" s="300"/>
      <c r="Z51" s="300"/>
      <c r="AA51" s="300"/>
      <c r="AB51" s="300"/>
      <c r="AC51" s="830"/>
    </row>
    <row r="52" spans="1:29" ht="21.75" customHeight="1" thickBot="1">
      <c r="A52" s="115" t="s">
        <v>13</v>
      </c>
      <c r="B52" s="1104" t="s">
        <v>354</v>
      </c>
      <c r="C52" s="1104"/>
      <c r="D52" s="1104"/>
      <c r="E52" s="373">
        <f aca="true" t="shared" si="18" ref="E52:P52">SUM(E53:E54)</f>
        <v>2500</v>
      </c>
      <c r="F52" s="302">
        <f t="shared" si="18"/>
        <v>2500</v>
      </c>
      <c r="G52" s="302">
        <f t="shared" si="18"/>
        <v>2538</v>
      </c>
      <c r="H52" s="302">
        <f t="shared" si="18"/>
        <v>2538</v>
      </c>
      <c r="I52" s="302">
        <f t="shared" si="18"/>
        <v>2540</v>
      </c>
      <c r="J52" s="302">
        <f t="shared" si="18"/>
        <v>2542</v>
      </c>
      <c r="K52" s="302">
        <f>SUM(K53:K54)</f>
        <v>2542</v>
      </c>
      <c r="L52" s="825">
        <f t="shared" si="3"/>
        <v>1</v>
      </c>
      <c r="M52" s="373">
        <f t="shared" si="18"/>
        <v>2500</v>
      </c>
      <c r="N52" s="302">
        <f t="shared" si="18"/>
        <v>2500</v>
      </c>
      <c r="O52" s="302">
        <f t="shared" si="18"/>
        <v>2538</v>
      </c>
      <c r="P52" s="302">
        <f t="shared" si="18"/>
        <v>2538</v>
      </c>
      <c r="Q52" s="302"/>
      <c r="R52" s="302">
        <f>SUM(R53:R54)</f>
        <v>2540</v>
      </c>
      <c r="S52" s="302">
        <f>SUM(S53:S54)</f>
        <v>2542</v>
      </c>
      <c r="T52" s="302">
        <f>SUM(T53:T54)</f>
        <v>2542</v>
      </c>
      <c r="U52" s="825">
        <f t="shared" si="4"/>
        <v>1</v>
      </c>
      <c r="V52" s="373">
        <f aca="true" t="shared" si="19" ref="V52:AA52">SUM(V53:V54)</f>
        <v>0</v>
      </c>
      <c r="W52" s="302">
        <f t="shared" si="19"/>
        <v>0</v>
      </c>
      <c r="X52" s="302">
        <f t="shared" si="19"/>
        <v>0</v>
      </c>
      <c r="Y52" s="302">
        <f t="shared" si="19"/>
        <v>0</v>
      </c>
      <c r="Z52" s="302">
        <f t="shared" si="19"/>
        <v>0</v>
      </c>
      <c r="AA52" s="302">
        <f t="shared" si="19"/>
        <v>0</v>
      </c>
      <c r="AB52" s="302">
        <f>SUM(AB53:AB54)</f>
        <v>0</v>
      </c>
      <c r="AC52" s="825"/>
    </row>
    <row r="53" spans="1:29" s="7" customFormat="1" ht="21.75" customHeight="1">
      <c r="A53" s="117"/>
      <c r="B53" s="110" t="s">
        <v>49</v>
      </c>
      <c r="C53" s="1111" t="s">
        <v>356</v>
      </c>
      <c r="D53" s="1111"/>
      <c r="E53" s="391">
        <f>'3.sz.m Önk  bev.'!E53</f>
        <v>2500</v>
      </c>
      <c r="F53" s="303">
        <f>'3.sz.m Önk  bev.'!F53</f>
        <v>2500</v>
      </c>
      <c r="G53" s="303">
        <f>'3.sz.m Önk  bev.'!G53</f>
        <v>2538</v>
      </c>
      <c r="H53" s="303">
        <f>'3.sz.m Önk  bev.'!H53</f>
        <v>2538</v>
      </c>
      <c r="I53" s="303">
        <f>'3.sz.m Önk  bev.'!I53</f>
        <v>2540</v>
      </c>
      <c r="J53" s="303">
        <f>'3.sz.m Önk  bev.'!J53</f>
        <v>2542</v>
      </c>
      <c r="K53" s="303">
        <f>'3.sz.m Önk  bev.'!K53</f>
        <v>2542</v>
      </c>
      <c r="L53" s="811">
        <f t="shared" si="3"/>
        <v>1</v>
      </c>
      <c r="M53" s="391">
        <f>'3.sz.m Önk  bev.'!M53</f>
        <v>2500</v>
      </c>
      <c r="N53" s="303">
        <f>'3.sz.m Önk  bev.'!N53</f>
        <v>2500</v>
      </c>
      <c r="O53" s="303">
        <f>'3.sz.m Önk  bev.'!O53</f>
        <v>2538</v>
      </c>
      <c r="P53" s="303">
        <f>'3.sz.m Önk  bev.'!P53</f>
        <v>2538</v>
      </c>
      <c r="Q53" s="303"/>
      <c r="R53" s="303">
        <f>'3.sz.m Önk  bev.'!Q53</f>
        <v>2540</v>
      </c>
      <c r="S53" s="303">
        <f>'3.sz.m Önk  bev.'!R53</f>
        <v>2542</v>
      </c>
      <c r="T53" s="303">
        <f>'3.sz.m Önk  bev.'!S53</f>
        <v>2542</v>
      </c>
      <c r="U53" s="811">
        <f t="shared" si="4"/>
        <v>1</v>
      </c>
      <c r="V53" s="391"/>
      <c r="W53" s="303"/>
      <c r="X53" s="303"/>
      <c r="Y53" s="303"/>
      <c r="Z53" s="303"/>
      <c r="AA53" s="303"/>
      <c r="AB53" s="303"/>
      <c r="AC53" s="811"/>
    </row>
    <row r="54" spans="1:29" ht="21.75" customHeight="1" thickBot="1">
      <c r="A54" s="112"/>
      <c r="B54" s="113" t="s">
        <v>355</v>
      </c>
      <c r="C54" s="1113" t="s">
        <v>357</v>
      </c>
      <c r="D54" s="1113"/>
      <c r="E54" s="389">
        <v>0</v>
      </c>
      <c r="F54" s="390">
        <v>0</v>
      </c>
      <c r="G54" s="390">
        <v>0</v>
      </c>
      <c r="H54" s="390">
        <v>0</v>
      </c>
      <c r="I54" s="390">
        <v>0</v>
      </c>
      <c r="J54" s="390">
        <v>0</v>
      </c>
      <c r="K54" s="390">
        <v>0</v>
      </c>
      <c r="L54" s="833"/>
      <c r="M54" s="389">
        <v>0</v>
      </c>
      <c r="N54" s="390">
        <v>0</v>
      </c>
      <c r="O54" s="390">
        <v>0</v>
      </c>
      <c r="P54" s="390"/>
      <c r="Q54" s="390"/>
      <c r="R54" s="390"/>
      <c r="S54" s="390"/>
      <c r="T54" s="390"/>
      <c r="U54" s="833"/>
      <c r="V54" s="389"/>
      <c r="W54" s="390"/>
      <c r="X54" s="390"/>
      <c r="Y54" s="390"/>
      <c r="Z54" s="390"/>
      <c r="AA54" s="390"/>
      <c r="AB54" s="390"/>
      <c r="AC54" s="833"/>
    </row>
    <row r="55" spans="1:29" ht="21.75" customHeight="1" thickBot="1">
      <c r="A55" s="115" t="s">
        <v>14</v>
      </c>
      <c r="B55" s="1112" t="s">
        <v>82</v>
      </c>
      <c r="C55" s="1112"/>
      <c r="D55" s="1112"/>
      <c r="E55" s="373">
        <f aca="true" t="shared" si="20" ref="E55:P55">E7+E21+E41+E49+E52+E32</f>
        <v>478106</v>
      </c>
      <c r="F55" s="302">
        <f t="shared" si="20"/>
        <v>486256</v>
      </c>
      <c r="G55" s="302">
        <f t="shared" si="20"/>
        <v>494354</v>
      </c>
      <c r="H55" s="302">
        <f t="shared" si="20"/>
        <v>502014</v>
      </c>
      <c r="I55" s="302">
        <f t="shared" si="20"/>
        <v>535959</v>
      </c>
      <c r="J55" s="302">
        <f t="shared" si="20"/>
        <v>585990</v>
      </c>
      <c r="K55" s="302">
        <f>K7+K21+K41+K49+K52+K32</f>
        <v>576561</v>
      </c>
      <c r="L55" s="831">
        <f t="shared" si="3"/>
        <v>0.9839092817283571</v>
      </c>
      <c r="M55" s="373">
        <f t="shared" si="20"/>
        <v>457271</v>
      </c>
      <c r="N55" s="302">
        <f t="shared" si="20"/>
        <v>465421</v>
      </c>
      <c r="O55" s="302">
        <f t="shared" si="20"/>
        <v>472686</v>
      </c>
      <c r="P55" s="302">
        <f t="shared" si="20"/>
        <v>480346</v>
      </c>
      <c r="Q55" s="302"/>
      <c r="R55" s="302">
        <f>R7+R21+R41+R49+R52+R32</f>
        <v>514291</v>
      </c>
      <c r="S55" s="302">
        <f>S7+S21+S41+S49+S52+S32</f>
        <v>565006</v>
      </c>
      <c r="T55" s="302">
        <f>T7+T21+T41+T49+T52+T32</f>
        <v>559147</v>
      </c>
      <c r="U55" s="831">
        <f t="shared" si="4"/>
        <v>0.9896301986173598</v>
      </c>
      <c r="V55" s="373">
        <f aca="true" t="shared" si="21" ref="V55:AA55">V7+V21+V41+V49+V52+V32</f>
        <v>20835</v>
      </c>
      <c r="W55" s="302">
        <f t="shared" si="21"/>
        <v>20835</v>
      </c>
      <c r="X55" s="302">
        <f t="shared" si="21"/>
        <v>21668</v>
      </c>
      <c r="Y55" s="302">
        <f t="shared" si="21"/>
        <v>21668</v>
      </c>
      <c r="Z55" s="302">
        <f t="shared" si="21"/>
        <v>21668</v>
      </c>
      <c r="AA55" s="302">
        <f t="shared" si="21"/>
        <v>20984</v>
      </c>
      <c r="AB55" s="302">
        <f>AB7+AB21+AB41+AB49+AB52+AB32</f>
        <v>17414</v>
      </c>
      <c r="AC55" s="831">
        <f>AB55/AA55</f>
        <v>0.8298703774304231</v>
      </c>
    </row>
    <row r="56" spans="1:29" ht="24" customHeight="1" thickBot="1">
      <c r="A56" s="111" t="s">
        <v>63</v>
      </c>
      <c r="B56" s="1104" t="s">
        <v>358</v>
      </c>
      <c r="C56" s="1104"/>
      <c r="D56" s="1104"/>
      <c r="E56" s="373">
        <f aca="true" t="shared" si="22" ref="E56:P56">SUM(E57:E59)</f>
        <v>116812</v>
      </c>
      <c r="F56" s="302">
        <f t="shared" si="22"/>
        <v>116812</v>
      </c>
      <c r="G56" s="302">
        <f t="shared" si="22"/>
        <v>116787</v>
      </c>
      <c r="H56" s="302">
        <f t="shared" si="22"/>
        <v>116787</v>
      </c>
      <c r="I56" s="302">
        <f t="shared" si="22"/>
        <v>128948</v>
      </c>
      <c r="J56" s="302">
        <f t="shared" si="22"/>
        <v>104753</v>
      </c>
      <c r="K56" s="302">
        <f>SUM(K57:K59)</f>
        <v>104753</v>
      </c>
      <c r="L56" s="831">
        <f t="shared" si="3"/>
        <v>1</v>
      </c>
      <c r="M56" s="373">
        <f t="shared" si="22"/>
        <v>116812</v>
      </c>
      <c r="N56" s="302">
        <f t="shared" si="22"/>
        <v>116812</v>
      </c>
      <c r="O56" s="302">
        <f t="shared" si="22"/>
        <v>116787</v>
      </c>
      <c r="P56" s="302">
        <f t="shared" si="22"/>
        <v>116787</v>
      </c>
      <c r="Q56" s="302"/>
      <c r="R56" s="302">
        <f>SUM(R57:R59)</f>
        <v>128948</v>
      </c>
      <c r="S56" s="302">
        <f>SUM(S57:S59)</f>
        <v>104753</v>
      </c>
      <c r="T56" s="302">
        <f>SUM(T57:T59)</f>
        <v>104753</v>
      </c>
      <c r="U56" s="831">
        <f t="shared" si="4"/>
        <v>1</v>
      </c>
      <c r="V56" s="373">
        <f aca="true" t="shared" si="23" ref="V56:AA56">SUM(V57:V59)</f>
        <v>0</v>
      </c>
      <c r="W56" s="302">
        <f t="shared" si="23"/>
        <v>0</v>
      </c>
      <c r="X56" s="302">
        <f t="shared" si="23"/>
        <v>0</v>
      </c>
      <c r="Y56" s="302">
        <f t="shared" si="23"/>
        <v>0</v>
      </c>
      <c r="Z56" s="302">
        <f t="shared" si="23"/>
        <v>0</v>
      </c>
      <c r="AA56" s="302">
        <f t="shared" si="23"/>
        <v>0</v>
      </c>
      <c r="AB56" s="302">
        <f>SUM(AB57:AB59)</f>
        <v>0</v>
      </c>
      <c r="AC56" s="831"/>
    </row>
    <row r="57" spans="1:29" ht="21.75" customHeight="1">
      <c r="A57" s="109"/>
      <c r="B57" s="110" t="s">
        <v>50</v>
      </c>
      <c r="C57" s="1111" t="s">
        <v>359</v>
      </c>
      <c r="D57" s="1111"/>
      <c r="E57" s="388">
        <f>'3.sz.m Önk  bev.'!E57</f>
        <v>32367</v>
      </c>
      <c r="F57" s="300">
        <f>'3.sz.m Önk  bev.'!F57</f>
        <v>32367</v>
      </c>
      <c r="G57" s="300">
        <f>'3.sz.m Önk  bev.'!G57</f>
        <v>32342</v>
      </c>
      <c r="H57" s="300">
        <f>'3.sz.m Önk  bev.'!H57</f>
        <v>32342</v>
      </c>
      <c r="I57" s="300">
        <f>'3.sz.m Önk  bev.'!I57</f>
        <v>32342</v>
      </c>
      <c r="J57" s="300">
        <f>'3.sz.m Önk  bev.'!J57</f>
        <v>0</v>
      </c>
      <c r="K57" s="300">
        <f>'3.sz.m Önk  bev.'!K57</f>
        <v>0</v>
      </c>
      <c r="L57" s="832"/>
      <c r="M57" s="388">
        <f>'3.sz.m Önk  bev.'!M57</f>
        <v>32367</v>
      </c>
      <c r="N57" s="300">
        <f>'3.sz.m Önk  bev.'!N57</f>
        <v>32367</v>
      </c>
      <c r="O57" s="300">
        <v>32342</v>
      </c>
      <c r="P57" s="300">
        <f>H57</f>
        <v>32342</v>
      </c>
      <c r="Q57" s="300"/>
      <c r="R57" s="300">
        <f>I57</f>
        <v>32342</v>
      </c>
      <c r="S57" s="300">
        <f>J57</f>
        <v>0</v>
      </c>
      <c r="T57" s="300">
        <f>K57</f>
        <v>0</v>
      </c>
      <c r="U57" s="832"/>
      <c r="V57" s="388"/>
      <c r="W57" s="300"/>
      <c r="X57" s="300"/>
      <c r="Y57" s="300"/>
      <c r="Z57" s="300"/>
      <c r="AA57" s="300"/>
      <c r="AB57" s="300"/>
      <c r="AC57" s="832"/>
    </row>
    <row r="58" spans="1:29" ht="21.75" customHeight="1">
      <c r="A58" s="108"/>
      <c r="B58" s="105" t="s">
        <v>51</v>
      </c>
      <c r="C58" s="1111" t="s">
        <v>542</v>
      </c>
      <c r="D58" s="1111"/>
      <c r="E58" s="388">
        <f>'3.sz.m Önk  bev.'!E58</f>
        <v>0</v>
      </c>
      <c r="F58" s="300">
        <f>'3.sz.m Önk  bev.'!F58</f>
        <v>0</v>
      </c>
      <c r="G58" s="300">
        <f>'3.sz.m Önk  bev.'!G58</f>
        <v>0</v>
      </c>
      <c r="H58" s="300">
        <f>'3.sz.m Önk  bev.'!H58</f>
        <v>0</v>
      </c>
      <c r="I58" s="300">
        <f>'3.sz.m Önk  bev.'!I58</f>
        <v>0</v>
      </c>
      <c r="J58" s="300">
        <f>'3.sz.m Önk  bev.'!J58</f>
        <v>8964</v>
      </c>
      <c r="K58" s="300">
        <f>'3.sz.m Önk  bev.'!K58</f>
        <v>8964</v>
      </c>
      <c r="L58" s="834">
        <f t="shared" si="3"/>
        <v>1</v>
      </c>
      <c r="M58" s="388">
        <f>'3.sz.m Önk  bev.'!M58</f>
        <v>0</v>
      </c>
      <c r="N58" s="300">
        <f>'3.sz.m Önk  bev.'!N58</f>
        <v>0</v>
      </c>
      <c r="O58" s="300">
        <f>'3.sz.m Önk  bev.'!O58</f>
        <v>0</v>
      </c>
      <c r="P58" s="300">
        <f>'3.sz.m Önk  bev.'!P58</f>
        <v>0</v>
      </c>
      <c r="Q58" s="300"/>
      <c r="R58" s="300">
        <f>'3.sz.m Önk  bev.'!Q58</f>
        <v>0</v>
      </c>
      <c r="S58" s="300">
        <f>'3.sz.m Önk  bev.'!R58</f>
        <v>8964</v>
      </c>
      <c r="T58" s="300">
        <f>'3.sz.m Önk  bev.'!S58</f>
        <v>8964</v>
      </c>
      <c r="U58" s="834">
        <f t="shared" si="4"/>
        <v>1</v>
      </c>
      <c r="V58" s="388"/>
      <c r="W58" s="300"/>
      <c r="X58" s="300"/>
      <c r="Y58" s="300"/>
      <c r="Z58" s="300"/>
      <c r="AA58" s="300"/>
      <c r="AB58" s="300"/>
      <c r="AC58" s="834"/>
    </row>
    <row r="59" spans="1:29" ht="21.75" customHeight="1" thickBot="1">
      <c r="A59" s="108"/>
      <c r="B59" s="105" t="s">
        <v>81</v>
      </c>
      <c r="C59" s="1111" t="s">
        <v>360</v>
      </c>
      <c r="D59" s="1111"/>
      <c r="E59" s="388">
        <f>'3.sz.m Önk  bev.'!E59+'5.1 sz. m Köz Hiv'!D22+'5.2 sz. m ÁMK'!D21</f>
        <v>84445</v>
      </c>
      <c r="F59" s="300">
        <f>'3.sz.m Önk  bev.'!F59+'5.1 sz. m Köz Hiv'!E22+'5.2 sz. m ÁMK'!E21</f>
        <v>84445</v>
      </c>
      <c r="G59" s="300">
        <f>'3.sz.m Önk  bev.'!G59+'5.1 sz. m Köz Hiv'!F22+'5.2 sz. m ÁMK'!F21</f>
        <v>84445</v>
      </c>
      <c r="H59" s="300">
        <f>'3.sz.m Önk  bev.'!H59+'5.1 sz. m Köz Hiv'!G22+'5.2 sz. m ÁMK'!G21</f>
        <v>84445</v>
      </c>
      <c r="I59" s="300">
        <f>'3.sz.m Önk  bev.'!I59+'5.1 sz. m Köz Hiv'!H22+'5.2 sz. m ÁMK'!H21</f>
        <v>96606</v>
      </c>
      <c r="J59" s="300">
        <f>'3.sz.m Önk  bev.'!J59+'5.1 sz. m Köz Hiv'!I22+'5.2 sz. m ÁMK'!I21</f>
        <v>95789</v>
      </c>
      <c r="K59" s="300">
        <f>'3.sz.m Önk  bev.'!K59+'5.1 sz. m Köz Hiv'!J22+'5.2 sz. m ÁMK'!J21</f>
        <v>95789</v>
      </c>
      <c r="L59" s="834">
        <f t="shared" si="3"/>
        <v>1</v>
      </c>
      <c r="M59" s="388">
        <f>'3.sz.m Önk  bev.'!M59+'5.1 sz. m Köz Hiv'!L22+'5.2 sz. m ÁMK'!L21</f>
        <v>84445</v>
      </c>
      <c r="N59" s="300">
        <f>'3.sz.m Önk  bev.'!N59+'5.1 sz. m Köz Hiv'!M22+'5.2 sz. m ÁMK'!M21</f>
        <v>84445</v>
      </c>
      <c r="O59" s="300">
        <f>'3.sz.m Önk  bev.'!O59+'5.1 sz. m Köz Hiv'!N22+'5.2 sz. m ÁMK'!N21</f>
        <v>84445</v>
      </c>
      <c r="P59" s="300">
        <f>'3.sz.m Önk  bev.'!P59+'5.1 sz. m Köz Hiv'!O22+'5.2 sz. m ÁMK'!O21</f>
        <v>84445</v>
      </c>
      <c r="Q59" s="300"/>
      <c r="R59" s="300">
        <f>'3.sz.m Önk  bev.'!Q59+'5.1 sz. m Köz Hiv'!P22+'5.2 sz. m ÁMK'!P21</f>
        <v>96606</v>
      </c>
      <c r="S59" s="300">
        <f>'3.sz.m Önk  bev.'!R59+'5.1 sz. m Köz Hiv'!Q22+'5.2 sz. m ÁMK'!Q21</f>
        <v>95789</v>
      </c>
      <c r="T59" s="300">
        <f>'3.sz.m Önk  bev.'!S59+'5.1 sz. m Köz Hiv'!R22+'5.2 sz. m ÁMK'!R21</f>
        <v>95789</v>
      </c>
      <c r="U59" s="834">
        <f t="shared" si="4"/>
        <v>1</v>
      </c>
      <c r="V59" s="388"/>
      <c r="W59" s="300"/>
      <c r="X59" s="300"/>
      <c r="Y59" s="300"/>
      <c r="Z59" s="300"/>
      <c r="AA59" s="300"/>
      <c r="AB59" s="300"/>
      <c r="AC59" s="834"/>
    </row>
    <row r="60" spans="1:29" ht="35.25" customHeight="1" thickBot="1">
      <c r="A60" s="115" t="s">
        <v>64</v>
      </c>
      <c r="B60" s="1110" t="s">
        <v>83</v>
      </c>
      <c r="C60" s="1110"/>
      <c r="D60" s="1110"/>
      <c r="E60" s="375">
        <f aca="true" t="shared" si="24" ref="E60:P60">E55+E56</f>
        <v>594918</v>
      </c>
      <c r="F60" s="79">
        <f t="shared" si="24"/>
        <v>603068</v>
      </c>
      <c r="G60" s="79">
        <f t="shared" si="24"/>
        <v>611141</v>
      </c>
      <c r="H60" s="79">
        <f t="shared" si="24"/>
        <v>618801</v>
      </c>
      <c r="I60" s="79">
        <f t="shared" si="24"/>
        <v>664907</v>
      </c>
      <c r="J60" s="79">
        <f t="shared" si="24"/>
        <v>690743</v>
      </c>
      <c r="K60" s="79">
        <f>K55+K56</f>
        <v>681314</v>
      </c>
      <c r="L60" s="835">
        <f t="shared" si="3"/>
        <v>0.986349481645127</v>
      </c>
      <c r="M60" s="375">
        <f t="shared" si="24"/>
        <v>574083</v>
      </c>
      <c r="N60" s="79">
        <f t="shared" si="24"/>
        <v>582233</v>
      </c>
      <c r="O60" s="79">
        <f t="shared" si="24"/>
        <v>589473</v>
      </c>
      <c r="P60" s="79">
        <f t="shared" si="24"/>
        <v>597133</v>
      </c>
      <c r="Q60" s="79"/>
      <c r="R60" s="79">
        <f>R55+R56</f>
        <v>643239</v>
      </c>
      <c r="S60" s="79">
        <f>S55+S56</f>
        <v>669759</v>
      </c>
      <c r="T60" s="79">
        <f>T55+T56</f>
        <v>663900</v>
      </c>
      <c r="U60" s="835">
        <f t="shared" si="4"/>
        <v>0.9912520772397235</v>
      </c>
      <c r="V60" s="375">
        <f aca="true" t="shared" si="25" ref="V60:AA60">V55+V56</f>
        <v>20835</v>
      </c>
      <c r="W60" s="79">
        <f t="shared" si="25"/>
        <v>20835</v>
      </c>
      <c r="X60" s="79">
        <f t="shared" si="25"/>
        <v>21668</v>
      </c>
      <c r="Y60" s="79">
        <f t="shared" si="25"/>
        <v>21668</v>
      </c>
      <c r="Z60" s="79">
        <f t="shared" si="25"/>
        <v>21668</v>
      </c>
      <c r="AA60" s="79">
        <f t="shared" si="25"/>
        <v>20984</v>
      </c>
      <c r="AB60" s="79">
        <f>AB55+AB56</f>
        <v>17414</v>
      </c>
      <c r="AC60" s="835">
        <f>AB60/AA60</f>
        <v>0.8298703774304231</v>
      </c>
    </row>
    <row r="61" spans="1:29" ht="21.75" customHeight="1" hidden="1" thickBot="1">
      <c r="A61" s="1105" t="s">
        <v>266</v>
      </c>
      <c r="B61" s="1106"/>
      <c r="C61" s="1106"/>
      <c r="D61" s="1106"/>
      <c r="E61" s="602"/>
      <c r="F61" s="603"/>
      <c r="G61" s="603"/>
      <c r="H61" s="603"/>
      <c r="I61" s="603"/>
      <c r="J61" s="603"/>
      <c r="K61" s="603"/>
      <c r="L61" s="607" t="e">
        <f t="shared" si="3"/>
        <v>#DIV/0!</v>
      </c>
      <c r="M61" s="602"/>
      <c r="N61" s="603"/>
      <c r="O61" s="603"/>
      <c r="P61" s="603"/>
      <c r="Q61" s="603"/>
      <c r="R61" s="603"/>
      <c r="S61" s="603"/>
      <c r="T61" s="603"/>
      <c r="U61" s="607" t="e">
        <f t="shared" si="4"/>
        <v>#DIV/0!</v>
      </c>
      <c r="V61" s="602"/>
      <c r="W61" s="603"/>
      <c r="X61" s="603"/>
      <c r="Y61" s="603"/>
      <c r="Z61" s="603"/>
      <c r="AA61" s="603"/>
      <c r="AB61" s="603"/>
      <c r="AC61" s="607" t="e">
        <f>AB61/AA61</f>
        <v>#DIV/0!</v>
      </c>
    </row>
    <row r="62" spans="1:29" ht="21.75" customHeight="1" thickBot="1">
      <c r="A62" s="1109" t="s">
        <v>7</v>
      </c>
      <c r="B62" s="1110"/>
      <c r="C62" s="1110"/>
      <c r="D62" s="1110"/>
      <c r="E62" s="426">
        <f aca="true" t="shared" si="26" ref="E62:P62">E60+E61</f>
        <v>594918</v>
      </c>
      <c r="F62" s="427">
        <f t="shared" si="26"/>
        <v>603068</v>
      </c>
      <c r="G62" s="427">
        <f t="shared" si="26"/>
        <v>611141</v>
      </c>
      <c r="H62" s="427">
        <f t="shared" si="26"/>
        <v>618801</v>
      </c>
      <c r="I62" s="427">
        <f t="shared" si="26"/>
        <v>664907</v>
      </c>
      <c r="J62" s="427">
        <f t="shared" si="26"/>
        <v>690743</v>
      </c>
      <c r="K62" s="427">
        <f>K60+K61</f>
        <v>681314</v>
      </c>
      <c r="L62" s="428">
        <f t="shared" si="3"/>
        <v>0.986349481645127</v>
      </c>
      <c r="M62" s="426">
        <f t="shared" si="26"/>
        <v>574083</v>
      </c>
      <c r="N62" s="427">
        <f t="shared" si="26"/>
        <v>582233</v>
      </c>
      <c r="O62" s="427">
        <f t="shared" si="26"/>
        <v>589473</v>
      </c>
      <c r="P62" s="427">
        <f t="shared" si="26"/>
        <v>597133</v>
      </c>
      <c r="Q62" s="427"/>
      <c r="R62" s="427">
        <f>R60+R61</f>
        <v>643239</v>
      </c>
      <c r="S62" s="427">
        <f>S60+S61</f>
        <v>669759</v>
      </c>
      <c r="T62" s="427">
        <f>T60+T61</f>
        <v>663900</v>
      </c>
      <c r="U62" s="428">
        <f t="shared" si="4"/>
        <v>0.9912520772397235</v>
      </c>
      <c r="V62" s="426">
        <f aca="true" t="shared" si="27" ref="V62:AA62">V60+V61</f>
        <v>20835</v>
      </c>
      <c r="W62" s="427">
        <f t="shared" si="27"/>
        <v>20835</v>
      </c>
      <c r="X62" s="427">
        <f t="shared" si="27"/>
        <v>21668</v>
      </c>
      <c r="Y62" s="427">
        <f t="shared" si="27"/>
        <v>21668</v>
      </c>
      <c r="Z62" s="427">
        <f t="shared" si="27"/>
        <v>21668</v>
      </c>
      <c r="AA62" s="427">
        <f t="shared" si="27"/>
        <v>20984</v>
      </c>
      <c r="AB62" s="427">
        <f>AB60+AB61</f>
        <v>17414</v>
      </c>
      <c r="AC62" s="428">
        <f>AB62/AA62</f>
        <v>0.8298703774304231</v>
      </c>
    </row>
    <row r="63" spans="1:27" ht="21.75" customHeight="1">
      <c r="A63" s="604"/>
      <c r="B63" s="605"/>
      <c r="C63" s="605"/>
      <c r="D63" s="605"/>
      <c r="E63" s="606"/>
      <c r="F63" s="606"/>
      <c r="G63" s="606"/>
      <c r="H63" s="606"/>
      <c r="I63" s="606"/>
      <c r="J63" s="606"/>
      <c r="K63" s="606"/>
      <c r="L63" s="606"/>
      <c r="M63" s="606"/>
      <c r="N63" s="606"/>
      <c r="O63" s="606"/>
      <c r="P63" s="606"/>
      <c r="Q63" s="606"/>
      <c r="R63" s="606"/>
      <c r="S63" s="606"/>
      <c r="T63" s="606"/>
      <c r="U63" s="606"/>
      <c r="V63" s="606"/>
      <c r="W63" s="606"/>
      <c r="X63" s="606"/>
      <c r="Y63" s="606"/>
      <c r="Z63" s="606"/>
      <c r="AA63" s="606"/>
    </row>
    <row r="64" spans="1:25" ht="21.75" customHeight="1">
      <c r="A64" s="94"/>
      <c r="B64" s="141"/>
      <c r="C64" s="141"/>
      <c r="D64" s="141"/>
      <c r="E64" s="342"/>
      <c r="F64" s="342"/>
      <c r="G64" s="341"/>
      <c r="H64" s="341"/>
      <c r="I64" s="342"/>
      <c r="J64" s="341"/>
      <c r="K64" s="341"/>
      <c r="L64" s="341"/>
      <c r="M64" s="342"/>
      <c r="W64" s="342"/>
      <c r="X64" s="342"/>
      <c r="Y64" s="342"/>
    </row>
    <row r="65" spans="1:25" ht="35.25" customHeight="1">
      <c r="A65" s="94"/>
      <c r="B65" s="141"/>
      <c r="C65" s="141"/>
      <c r="D65" s="141"/>
      <c r="E65" s="342"/>
      <c r="F65" s="342"/>
      <c r="G65" s="342"/>
      <c r="H65" s="342"/>
      <c r="I65" s="342"/>
      <c r="J65" s="342"/>
      <c r="K65" s="341"/>
      <c r="L65" s="342"/>
      <c r="M65" s="342"/>
      <c r="N65" s="342"/>
      <c r="O65" s="342"/>
      <c r="P65" s="342"/>
      <c r="Q65" s="342"/>
      <c r="R65" s="342"/>
      <c r="S65" s="342"/>
      <c r="T65" s="342"/>
      <c r="U65" s="342"/>
      <c r="W65" s="342"/>
      <c r="X65" s="342"/>
      <c r="Y65" s="342"/>
    </row>
    <row r="66" spans="1:25" ht="35.25" customHeight="1">
      <c r="A66" s="94"/>
      <c r="B66" s="141"/>
      <c r="C66" s="141"/>
      <c r="D66" s="141"/>
      <c r="E66" s="342"/>
      <c r="F66" s="342"/>
      <c r="G66" s="342"/>
      <c r="H66" s="342"/>
      <c r="I66" s="342"/>
      <c r="J66" s="342"/>
      <c r="K66" s="342"/>
      <c r="L66" s="342"/>
      <c r="M66" s="342"/>
      <c r="N66" s="342"/>
      <c r="O66" s="342"/>
      <c r="P66" s="342"/>
      <c r="Q66" s="342"/>
      <c r="R66" s="342"/>
      <c r="S66" s="342"/>
      <c r="T66" s="342"/>
      <c r="U66" s="342"/>
      <c r="W66" s="342"/>
      <c r="X66" s="342"/>
      <c r="Y66" s="342"/>
    </row>
    <row r="67" spans="5:25" ht="12.75">
      <c r="E67" s="342"/>
      <c r="F67" s="342"/>
      <c r="G67" s="342"/>
      <c r="H67" s="342"/>
      <c r="I67" s="342"/>
      <c r="J67" s="342"/>
      <c r="K67" s="342"/>
      <c r="L67" s="342"/>
      <c r="M67" s="342"/>
      <c r="N67" s="342"/>
      <c r="O67" s="342"/>
      <c r="P67" s="342"/>
      <c r="Q67" s="342"/>
      <c r="R67" s="342"/>
      <c r="S67" s="342"/>
      <c r="T67" s="342"/>
      <c r="U67" s="342"/>
      <c r="W67" s="342"/>
      <c r="X67" s="342"/>
      <c r="Y67" s="342"/>
    </row>
    <row r="68" spans="5:25" ht="12.75">
      <c r="E68" s="342"/>
      <c r="F68" s="342"/>
      <c r="G68" s="342"/>
      <c r="H68" s="342"/>
      <c r="I68" s="342"/>
      <c r="J68" s="342"/>
      <c r="K68" s="342"/>
      <c r="L68" s="342"/>
      <c r="M68" s="342"/>
      <c r="N68" s="342"/>
      <c r="O68" s="342"/>
      <c r="P68" s="342"/>
      <c r="Q68" s="342"/>
      <c r="R68" s="342"/>
      <c r="S68" s="342"/>
      <c r="T68" s="342"/>
      <c r="U68" s="342"/>
      <c r="W68" s="342"/>
      <c r="X68" s="342"/>
      <c r="Y68" s="342"/>
    </row>
    <row r="69" spans="5:25" ht="12.75">
      <c r="E69" s="342"/>
      <c r="F69" s="342"/>
      <c r="G69" s="342"/>
      <c r="H69" s="342"/>
      <c r="I69" s="342"/>
      <c r="J69" s="342"/>
      <c r="K69" s="342"/>
      <c r="L69" s="342"/>
      <c r="M69" s="342"/>
      <c r="N69" s="342"/>
      <c r="O69" s="342"/>
      <c r="P69" s="342"/>
      <c r="Q69" s="342"/>
      <c r="R69" s="342"/>
      <c r="S69" s="342"/>
      <c r="T69" s="342"/>
      <c r="U69" s="342"/>
      <c r="W69" s="342"/>
      <c r="X69" s="342"/>
      <c r="Y69" s="342"/>
    </row>
    <row r="70" spans="4:25" ht="12.75">
      <c r="D70" s="102"/>
      <c r="E70" s="342"/>
      <c r="F70" s="342"/>
      <c r="G70" s="342"/>
      <c r="H70" s="342"/>
      <c r="I70" s="342"/>
      <c r="J70" s="342"/>
      <c r="K70" s="342"/>
      <c r="L70" s="342"/>
      <c r="M70" s="342"/>
      <c r="N70" s="342"/>
      <c r="O70" s="342"/>
      <c r="P70" s="342"/>
      <c r="Q70" s="342"/>
      <c r="R70" s="342"/>
      <c r="S70" s="342"/>
      <c r="T70" s="342"/>
      <c r="U70" s="342"/>
      <c r="W70" s="342"/>
      <c r="X70" s="342"/>
      <c r="Y70" s="342"/>
    </row>
    <row r="71" spans="4:25" ht="48.75" customHeight="1">
      <c r="D71" s="102"/>
      <c r="E71" s="342"/>
      <c r="F71" s="342"/>
      <c r="G71" s="342"/>
      <c r="H71" s="342"/>
      <c r="I71" s="342"/>
      <c r="J71" s="342"/>
      <c r="K71" s="342"/>
      <c r="L71" s="342"/>
      <c r="M71" s="342"/>
      <c r="N71" s="342"/>
      <c r="O71" s="342"/>
      <c r="P71" s="342"/>
      <c r="Q71" s="342"/>
      <c r="R71" s="342"/>
      <c r="S71" s="342"/>
      <c r="T71" s="342"/>
      <c r="U71" s="342"/>
      <c r="W71" s="342"/>
      <c r="X71" s="342"/>
      <c r="Y71" s="342"/>
    </row>
    <row r="72" spans="4:25" ht="46.5" customHeight="1">
      <c r="D72" s="102"/>
      <c r="E72" s="342"/>
      <c r="F72" s="342"/>
      <c r="G72" s="342"/>
      <c r="H72" s="342"/>
      <c r="I72" s="342"/>
      <c r="J72" s="342"/>
      <c r="K72" s="342"/>
      <c r="L72" s="342"/>
      <c r="M72" s="342"/>
      <c r="N72" s="342"/>
      <c r="O72" s="342"/>
      <c r="P72" s="342"/>
      <c r="Q72" s="342"/>
      <c r="R72" s="342"/>
      <c r="S72" s="342"/>
      <c r="T72" s="342"/>
      <c r="U72" s="342"/>
      <c r="W72" s="342"/>
      <c r="X72" s="342"/>
      <c r="Y72" s="342"/>
    </row>
    <row r="73" spans="5:25" ht="41.25" customHeight="1">
      <c r="E73" s="342"/>
      <c r="F73" s="342"/>
      <c r="G73" s="342"/>
      <c r="H73" s="342"/>
      <c r="I73" s="342"/>
      <c r="J73" s="342"/>
      <c r="K73" s="342"/>
      <c r="L73" s="342"/>
      <c r="M73" s="342"/>
      <c r="N73" s="342"/>
      <c r="O73" s="342"/>
      <c r="P73" s="342"/>
      <c r="Q73" s="342"/>
      <c r="R73" s="342"/>
      <c r="S73" s="342"/>
      <c r="T73" s="342"/>
      <c r="U73" s="342"/>
      <c r="W73" s="342"/>
      <c r="X73" s="342"/>
      <c r="Y73" s="342"/>
    </row>
    <row r="74" spans="5:25" ht="12.75">
      <c r="E74" s="342"/>
      <c r="F74" s="342"/>
      <c r="G74" s="342"/>
      <c r="H74" s="342"/>
      <c r="I74" s="342"/>
      <c r="J74" s="342"/>
      <c r="K74" s="342"/>
      <c r="L74" s="342"/>
      <c r="M74" s="342"/>
      <c r="N74" s="342"/>
      <c r="O74" s="342"/>
      <c r="P74" s="342"/>
      <c r="Q74" s="342"/>
      <c r="R74" s="342"/>
      <c r="S74" s="342"/>
      <c r="T74" s="342"/>
      <c r="U74" s="342"/>
      <c r="W74" s="342"/>
      <c r="X74" s="342"/>
      <c r="Y74" s="342"/>
    </row>
    <row r="75" spans="5:25" ht="12.75">
      <c r="E75" s="342"/>
      <c r="F75" s="342"/>
      <c r="G75" s="342"/>
      <c r="H75" s="342"/>
      <c r="I75" s="342"/>
      <c r="J75" s="342"/>
      <c r="K75" s="342"/>
      <c r="L75" s="342"/>
      <c r="M75" s="342"/>
      <c r="N75" s="342"/>
      <c r="O75" s="342"/>
      <c r="P75" s="342"/>
      <c r="Q75" s="342"/>
      <c r="R75" s="342"/>
      <c r="S75" s="342"/>
      <c r="T75" s="342"/>
      <c r="U75" s="342"/>
      <c r="W75" s="342"/>
      <c r="X75" s="342"/>
      <c r="Y75" s="342"/>
    </row>
    <row r="76" spans="5:25" ht="12.75">
      <c r="E76" s="342"/>
      <c r="F76" s="342"/>
      <c r="G76" s="342"/>
      <c r="H76" s="342"/>
      <c r="I76" s="342"/>
      <c r="J76" s="342"/>
      <c r="K76" s="342"/>
      <c r="L76" s="342"/>
      <c r="M76" s="342"/>
      <c r="N76" s="342"/>
      <c r="O76" s="342"/>
      <c r="P76" s="342"/>
      <c r="Q76" s="342"/>
      <c r="R76" s="342"/>
      <c r="S76" s="342"/>
      <c r="T76" s="342"/>
      <c r="U76" s="342"/>
      <c r="W76" s="342"/>
      <c r="X76" s="342"/>
      <c r="Y76" s="342"/>
    </row>
    <row r="77" spans="5:25" ht="12.75">
      <c r="E77" s="342"/>
      <c r="F77" s="342"/>
      <c r="G77" s="342"/>
      <c r="H77" s="342"/>
      <c r="I77" s="342"/>
      <c r="J77" s="342"/>
      <c r="K77" s="342"/>
      <c r="L77" s="342"/>
      <c r="M77" s="342"/>
      <c r="N77" s="342"/>
      <c r="O77" s="342"/>
      <c r="P77" s="342"/>
      <c r="Q77" s="342"/>
      <c r="R77" s="342"/>
      <c r="S77" s="342"/>
      <c r="T77" s="342"/>
      <c r="U77" s="342"/>
      <c r="W77" s="342"/>
      <c r="X77" s="342"/>
      <c r="Y77" s="342"/>
    </row>
    <row r="78" spans="5:25" ht="12.75">
      <c r="E78" s="342"/>
      <c r="F78" s="342"/>
      <c r="G78" s="342"/>
      <c r="H78" s="342"/>
      <c r="I78" s="342"/>
      <c r="J78" s="342"/>
      <c r="K78" s="342"/>
      <c r="L78" s="342"/>
      <c r="M78" s="342"/>
      <c r="N78" s="342"/>
      <c r="O78" s="342"/>
      <c r="P78" s="342"/>
      <c r="Q78" s="342"/>
      <c r="R78" s="342"/>
      <c r="S78" s="342"/>
      <c r="T78" s="342"/>
      <c r="U78" s="342"/>
      <c r="W78" s="342"/>
      <c r="X78" s="342"/>
      <c r="Y78" s="342"/>
    </row>
    <row r="79" spans="5:25" ht="12.75">
      <c r="E79" s="342"/>
      <c r="F79" s="342"/>
      <c r="G79" s="342"/>
      <c r="H79" s="342"/>
      <c r="I79" s="342"/>
      <c r="J79" s="342"/>
      <c r="K79" s="342"/>
      <c r="L79" s="342"/>
      <c r="M79" s="342"/>
      <c r="N79" s="342"/>
      <c r="O79" s="342"/>
      <c r="P79" s="342"/>
      <c r="Q79" s="342"/>
      <c r="R79" s="342"/>
      <c r="S79" s="342"/>
      <c r="T79" s="342"/>
      <c r="U79" s="342"/>
      <c r="W79" s="342"/>
      <c r="X79" s="342"/>
      <c r="Y79" s="342"/>
    </row>
    <row r="80" spans="5:25" ht="12.75">
      <c r="E80" s="342"/>
      <c r="F80" s="342"/>
      <c r="G80" s="342"/>
      <c r="H80" s="342"/>
      <c r="I80" s="342"/>
      <c r="J80" s="342"/>
      <c r="K80" s="342"/>
      <c r="L80" s="342"/>
      <c r="M80" s="342"/>
      <c r="N80" s="342"/>
      <c r="O80" s="342"/>
      <c r="P80" s="342"/>
      <c r="Q80" s="342"/>
      <c r="R80" s="342"/>
      <c r="S80" s="342"/>
      <c r="T80" s="342"/>
      <c r="U80" s="342"/>
      <c r="W80" s="342"/>
      <c r="X80" s="342"/>
      <c r="Y80" s="342"/>
    </row>
    <row r="81" spans="5:25" ht="12.75">
      <c r="E81" s="342"/>
      <c r="F81" s="342"/>
      <c r="G81" s="342"/>
      <c r="H81" s="342"/>
      <c r="I81" s="342"/>
      <c r="J81" s="342"/>
      <c r="K81" s="342"/>
      <c r="L81" s="342"/>
      <c r="M81" s="342"/>
      <c r="N81" s="342"/>
      <c r="O81" s="342"/>
      <c r="P81" s="342"/>
      <c r="Q81" s="342"/>
      <c r="R81" s="342"/>
      <c r="S81" s="342"/>
      <c r="T81" s="342"/>
      <c r="U81" s="342"/>
      <c r="W81" s="342"/>
      <c r="X81" s="342"/>
      <c r="Y81" s="342"/>
    </row>
    <row r="82" spans="5:25" ht="12.75">
      <c r="E82" s="342"/>
      <c r="F82" s="342"/>
      <c r="G82" s="342"/>
      <c r="H82" s="342"/>
      <c r="I82" s="342"/>
      <c r="J82" s="342"/>
      <c r="K82" s="342"/>
      <c r="L82" s="342"/>
      <c r="M82" s="342"/>
      <c r="N82" s="342"/>
      <c r="O82" s="342"/>
      <c r="P82" s="342"/>
      <c r="Q82" s="342"/>
      <c r="R82" s="342"/>
      <c r="S82" s="342"/>
      <c r="T82" s="342"/>
      <c r="U82" s="342"/>
      <c r="W82" s="342"/>
      <c r="X82" s="342"/>
      <c r="Y82" s="342"/>
    </row>
    <row r="83" spans="5:25" ht="12.75">
      <c r="E83" s="342"/>
      <c r="F83" s="342"/>
      <c r="G83" s="342"/>
      <c r="H83" s="342"/>
      <c r="I83" s="342"/>
      <c r="J83" s="342"/>
      <c r="K83" s="342"/>
      <c r="L83" s="342"/>
      <c r="M83" s="342"/>
      <c r="N83" s="342"/>
      <c r="O83" s="342"/>
      <c r="P83" s="342"/>
      <c r="Q83" s="342"/>
      <c r="R83" s="342"/>
      <c r="S83" s="342"/>
      <c r="T83" s="342"/>
      <c r="U83" s="342"/>
      <c r="W83" s="342"/>
      <c r="X83" s="342"/>
      <c r="Y83" s="342"/>
    </row>
    <row r="84" spans="5:25" ht="12.75"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W84" s="342"/>
      <c r="X84" s="342"/>
      <c r="Y84" s="342"/>
    </row>
    <row r="85" spans="5:25" ht="12.75">
      <c r="E85" s="342"/>
      <c r="F85" s="342"/>
      <c r="G85" s="342"/>
      <c r="H85" s="342"/>
      <c r="I85" s="342"/>
      <c r="J85" s="342"/>
      <c r="K85" s="342"/>
      <c r="L85" s="342"/>
      <c r="M85" s="342"/>
      <c r="N85" s="342"/>
      <c r="O85" s="342"/>
      <c r="P85" s="342"/>
      <c r="Q85" s="342"/>
      <c r="R85" s="342"/>
      <c r="S85" s="342"/>
      <c r="T85" s="342"/>
      <c r="U85" s="342"/>
      <c r="W85" s="342"/>
      <c r="X85" s="342"/>
      <c r="Y85" s="342"/>
    </row>
    <row r="86" spans="5:25" ht="12.75"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W86" s="342"/>
      <c r="X86" s="342"/>
      <c r="Y86" s="342"/>
    </row>
    <row r="87" spans="5:25" ht="12.75">
      <c r="E87" s="342"/>
      <c r="F87" s="342"/>
      <c r="G87" s="342"/>
      <c r="H87" s="342"/>
      <c r="I87" s="342"/>
      <c r="J87" s="342"/>
      <c r="K87" s="342"/>
      <c r="L87" s="342"/>
      <c r="M87" s="342"/>
      <c r="N87" s="342"/>
      <c r="O87" s="342"/>
      <c r="P87" s="342"/>
      <c r="Q87" s="342"/>
      <c r="R87" s="342"/>
      <c r="S87" s="342"/>
      <c r="T87" s="342"/>
      <c r="U87" s="342"/>
      <c r="W87" s="342"/>
      <c r="X87" s="342"/>
      <c r="Y87" s="342"/>
    </row>
    <row r="88" spans="5:25" ht="12.75">
      <c r="E88" s="342"/>
      <c r="F88" s="342"/>
      <c r="G88" s="342"/>
      <c r="H88" s="342"/>
      <c r="I88" s="342"/>
      <c r="J88" s="342"/>
      <c r="K88" s="342"/>
      <c r="L88" s="342"/>
      <c r="M88" s="342"/>
      <c r="N88" s="342"/>
      <c r="O88" s="342"/>
      <c r="P88" s="342"/>
      <c r="Q88" s="342"/>
      <c r="R88" s="342"/>
      <c r="S88" s="342"/>
      <c r="T88" s="342"/>
      <c r="U88" s="342"/>
      <c r="W88" s="342"/>
      <c r="X88" s="342"/>
      <c r="Y88" s="342"/>
    </row>
    <row r="89" spans="5:25" ht="12.75">
      <c r="E89" s="342"/>
      <c r="F89" s="342"/>
      <c r="G89" s="342"/>
      <c r="H89" s="342"/>
      <c r="I89" s="342"/>
      <c r="J89" s="342"/>
      <c r="K89" s="342"/>
      <c r="L89" s="342"/>
      <c r="M89" s="342"/>
      <c r="N89" s="342"/>
      <c r="O89" s="342"/>
      <c r="P89" s="342"/>
      <c r="Q89" s="342"/>
      <c r="R89" s="342"/>
      <c r="S89" s="342"/>
      <c r="T89" s="342"/>
      <c r="U89" s="342"/>
      <c r="W89" s="342"/>
      <c r="X89" s="342"/>
      <c r="Y89" s="342"/>
    </row>
    <row r="90" spans="5:25" ht="12.75">
      <c r="E90" s="342"/>
      <c r="F90" s="342"/>
      <c r="G90" s="342"/>
      <c r="H90" s="342"/>
      <c r="I90" s="342"/>
      <c r="J90" s="342"/>
      <c r="K90" s="342"/>
      <c r="L90" s="342"/>
      <c r="M90" s="342"/>
      <c r="N90" s="342"/>
      <c r="O90" s="342"/>
      <c r="P90" s="342"/>
      <c r="Q90" s="342"/>
      <c r="R90" s="342"/>
      <c r="S90" s="342"/>
      <c r="T90" s="342"/>
      <c r="U90" s="342"/>
      <c r="W90" s="342"/>
      <c r="X90" s="342"/>
      <c r="Y90" s="342"/>
    </row>
    <row r="91" spans="5:25" ht="12.75">
      <c r="E91" s="342"/>
      <c r="F91" s="342"/>
      <c r="G91" s="342"/>
      <c r="H91" s="342"/>
      <c r="I91" s="342"/>
      <c r="J91" s="342"/>
      <c r="K91" s="342"/>
      <c r="L91" s="342"/>
      <c r="M91" s="342"/>
      <c r="N91" s="342"/>
      <c r="O91" s="342"/>
      <c r="P91" s="342"/>
      <c r="Q91" s="342"/>
      <c r="R91" s="342"/>
      <c r="S91" s="342"/>
      <c r="T91" s="342"/>
      <c r="U91" s="342"/>
      <c r="W91" s="342"/>
      <c r="X91" s="342"/>
      <c r="Y91" s="342"/>
    </row>
    <row r="92" spans="5:25" ht="12.75">
      <c r="E92" s="342"/>
      <c r="F92" s="342"/>
      <c r="G92" s="342"/>
      <c r="H92" s="342"/>
      <c r="I92" s="342"/>
      <c r="J92" s="342"/>
      <c r="K92" s="342"/>
      <c r="L92" s="342"/>
      <c r="M92" s="342"/>
      <c r="N92" s="342"/>
      <c r="O92" s="342"/>
      <c r="P92" s="342"/>
      <c r="Q92" s="342"/>
      <c r="R92" s="342"/>
      <c r="S92" s="342"/>
      <c r="T92" s="342"/>
      <c r="U92" s="342"/>
      <c r="W92" s="342"/>
      <c r="X92" s="342"/>
      <c r="Y92" s="342"/>
    </row>
    <row r="93" spans="5:25" ht="12.75">
      <c r="E93" s="342"/>
      <c r="F93" s="342"/>
      <c r="G93" s="342"/>
      <c r="H93" s="342"/>
      <c r="I93" s="342"/>
      <c r="J93" s="342"/>
      <c r="K93" s="342"/>
      <c r="L93" s="342"/>
      <c r="M93" s="342"/>
      <c r="N93" s="342"/>
      <c r="O93" s="342"/>
      <c r="P93" s="342"/>
      <c r="Q93" s="342"/>
      <c r="R93" s="342"/>
      <c r="S93" s="342"/>
      <c r="T93" s="342"/>
      <c r="U93" s="342"/>
      <c r="W93" s="342"/>
      <c r="X93" s="342"/>
      <c r="Y93" s="342"/>
    </row>
    <row r="94" spans="5:25" ht="12.75">
      <c r="E94" s="342"/>
      <c r="F94" s="342"/>
      <c r="G94" s="342"/>
      <c r="H94" s="342"/>
      <c r="I94" s="342"/>
      <c r="J94" s="342"/>
      <c r="K94" s="342"/>
      <c r="L94" s="342"/>
      <c r="M94" s="342"/>
      <c r="N94" s="342"/>
      <c r="O94" s="342"/>
      <c r="P94" s="342"/>
      <c r="Q94" s="342"/>
      <c r="R94" s="342"/>
      <c r="S94" s="342"/>
      <c r="T94" s="342"/>
      <c r="U94" s="342"/>
      <c r="W94" s="342"/>
      <c r="X94" s="342"/>
      <c r="Y94" s="342"/>
    </row>
    <row r="95" spans="5:25" ht="12.75">
      <c r="E95" s="342"/>
      <c r="F95" s="342"/>
      <c r="G95" s="342"/>
      <c r="H95" s="342"/>
      <c r="I95" s="342"/>
      <c r="J95" s="342"/>
      <c r="K95" s="342"/>
      <c r="L95" s="342"/>
      <c r="M95" s="342"/>
      <c r="N95" s="342"/>
      <c r="O95" s="342"/>
      <c r="P95" s="342"/>
      <c r="Q95" s="342"/>
      <c r="R95" s="342"/>
      <c r="S95" s="342"/>
      <c r="T95" s="342"/>
      <c r="U95" s="342"/>
      <c r="W95" s="342"/>
      <c r="X95" s="342"/>
      <c r="Y95" s="342"/>
    </row>
    <row r="96" spans="5:25" ht="12.75">
      <c r="E96" s="342"/>
      <c r="F96" s="342"/>
      <c r="G96" s="342"/>
      <c r="H96" s="342"/>
      <c r="I96" s="342"/>
      <c r="J96" s="342"/>
      <c r="K96" s="342"/>
      <c r="L96" s="342"/>
      <c r="M96" s="342"/>
      <c r="N96" s="342"/>
      <c r="O96" s="342"/>
      <c r="P96" s="342"/>
      <c r="Q96" s="342"/>
      <c r="R96" s="342"/>
      <c r="S96" s="342"/>
      <c r="T96" s="342"/>
      <c r="U96" s="342"/>
      <c r="W96" s="342"/>
      <c r="X96" s="342"/>
      <c r="Y96" s="342"/>
    </row>
    <row r="97" spans="5:25" ht="12.75">
      <c r="E97" s="342"/>
      <c r="F97" s="342"/>
      <c r="G97" s="342"/>
      <c r="H97" s="342"/>
      <c r="I97" s="342"/>
      <c r="J97" s="342"/>
      <c r="K97" s="342"/>
      <c r="L97" s="342"/>
      <c r="M97" s="342"/>
      <c r="N97" s="342"/>
      <c r="O97" s="342"/>
      <c r="P97" s="342"/>
      <c r="Q97" s="342"/>
      <c r="R97" s="342"/>
      <c r="S97" s="342"/>
      <c r="T97" s="342"/>
      <c r="U97" s="342"/>
      <c r="W97" s="342"/>
      <c r="X97" s="342"/>
      <c r="Y97" s="342"/>
    </row>
    <row r="98" spans="5:25" ht="12.75">
      <c r="E98" s="342"/>
      <c r="F98" s="342"/>
      <c r="G98" s="342"/>
      <c r="H98" s="342"/>
      <c r="I98" s="342"/>
      <c r="J98" s="342"/>
      <c r="K98" s="342"/>
      <c r="L98" s="342"/>
      <c r="M98" s="342"/>
      <c r="N98" s="342"/>
      <c r="O98" s="342"/>
      <c r="P98" s="342"/>
      <c r="Q98" s="342"/>
      <c r="R98" s="342"/>
      <c r="S98" s="342"/>
      <c r="T98" s="342"/>
      <c r="U98" s="342"/>
      <c r="W98" s="342"/>
      <c r="X98" s="342"/>
      <c r="Y98" s="342"/>
    </row>
    <row r="99" spans="5:25" ht="12.75">
      <c r="E99" s="342"/>
      <c r="F99" s="342"/>
      <c r="G99" s="342"/>
      <c r="H99" s="342"/>
      <c r="I99" s="342"/>
      <c r="J99" s="342"/>
      <c r="K99" s="342"/>
      <c r="L99" s="342"/>
      <c r="M99" s="342"/>
      <c r="N99" s="342"/>
      <c r="O99" s="342"/>
      <c r="P99" s="342"/>
      <c r="Q99" s="342"/>
      <c r="R99" s="342"/>
      <c r="S99" s="342"/>
      <c r="T99" s="342"/>
      <c r="U99" s="342"/>
      <c r="W99" s="342"/>
      <c r="X99" s="342"/>
      <c r="Y99" s="342"/>
    </row>
    <row r="100" spans="5:25" ht="12.75">
      <c r="E100" s="342"/>
      <c r="F100" s="342"/>
      <c r="G100" s="342"/>
      <c r="H100" s="342"/>
      <c r="I100" s="342"/>
      <c r="J100" s="342"/>
      <c r="K100" s="342"/>
      <c r="L100" s="342"/>
      <c r="M100" s="342"/>
      <c r="N100" s="342"/>
      <c r="O100" s="342"/>
      <c r="P100" s="342"/>
      <c r="Q100" s="342"/>
      <c r="R100" s="342"/>
      <c r="S100" s="342"/>
      <c r="T100" s="342"/>
      <c r="U100" s="342"/>
      <c r="W100" s="342"/>
      <c r="X100" s="342"/>
      <c r="Y100" s="342"/>
    </row>
    <row r="101" spans="5:25" ht="12.75">
      <c r="E101" s="342"/>
      <c r="F101" s="342"/>
      <c r="G101" s="342"/>
      <c r="H101" s="342"/>
      <c r="I101" s="342"/>
      <c r="J101" s="342"/>
      <c r="K101" s="342"/>
      <c r="L101" s="342"/>
      <c r="M101" s="342"/>
      <c r="N101" s="342"/>
      <c r="O101" s="342"/>
      <c r="P101" s="342"/>
      <c r="Q101" s="342"/>
      <c r="R101" s="342"/>
      <c r="S101" s="342"/>
      <c r="T101" s="342"/>
      <c r="U101" s="342"/>
      <c r="W101" s="342"/>
      <c r="X101" s="342"/>
      <c r="Y101" s="342"/>
    </row>
    <row r="102" spans="5:25" ht="12.75">
      <c r="E102" s="342"/>
      <c r="F102" s="342"/>
      <c r="G102" s="342"/>
      <c r="H102" s="342"/>
      <c r="I102" s="342"/>
      <c r="J102" s="342"/>
      <c r="K102" s="342"/>
      <c r="L102" s="342"/>
      <c r="M102" s="342"/>
      <c r="N102" s="342"/>
      <c r="O102" s="342"/>
      <c r="P102" s="342"/>
      <c r="Q102" s="342"/>
      <c r="R102" s="342"/>
      <c r="S102" s="342"/>
      <c r="T102" s="342"/>
      <c r="U102" s="342"/>
      <c r="W102" s="342"/>
      <c r="X102" s="342"/>
      <c r="Y102" s="342"/>
    </row>
    <row r="103" spans="5:25" ht="12.75">
      <c r="E103" s="342"/>
      <c r="F103" s="342"/>
      <c r="G103" s="342"/>
      <c r="H103" s="342"/>
      <c r="I103" s="342"/>
      <c r="J103" s="342"/>
      <c r="K103" s="342"/>
      <c r="L103" s="342"/>
      <c r="M103" s="342"/>
      <c r="N103" s="342"/>
      <c r="O103" s="342"/>
      <c r="P103" s="342"/>
      <c r="Q103" s="342"/>
      <c r="R103" s="342"/>
      <c r="S103" s="342"/>
      <c r="T103" s="342"/>
      <c r="U103" s="342"/>
      <c r="W103" s="342"/>
      <c r="X103" s="342"/>
      <c r="Y103" s="342"/>
    </row>
    <row r="104" spans="5:25" ht="12.75">
      <c r="E104" s="342"/>
      <c r="F104" s="342"/>
      <c r="G104" s="342"/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  <c r="R104" s="342"/>
      <c r="S104" s="342"/>
      <c r="T104" s="342"/>
      <c r="U104" s="342"/>
      <c r="W104" s="342"/>
      <c r="X104" s="342"/>
      <c r="Y104" s="342"/>
    </row>
    <row r="105" spans="5:25" ht="12.75"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342"/>
      <c r="W105" s="342"/>
      <c r="X105" s="342"/>
      <c r="Y105" s="342"/>
    </row>
    <row r="106" spans="5:25" ht="12.75">
      <c r="E106" s="342"/>
      <c r="F106" s="342"/>
      <c r="G106" s="342"/>
      <c r="H106" s="342"/>
      <c r="I106" s="342"/>
      <c r="J106" s="342"/>
      <c r="K106" s="342"/>
      <c r="L106" s="342"/>
      <c r="M106" s="342"/>
      <c r="N106" s="342"/>
      <c r="O106" s="342"/>
      <c r="P106" s="342"/>
      <c r="Q106" s="342"/>
      <c r="R106" s="342"/>
      <c r="S106" s="342"/>
      <c r="T106" s="342"/>
      <c r="U106" s="342"/>
      <c r="W106" s="342"/>
      <c r="X106" s="342"/>
      <c r="Y106" s="342"/>
    </row>
    <row r="107" spans="5:25" ht="12.75">
      <c r="E107" s="342"/>
      <c r="F107" s="342"/>
      <c r="G107" s="342"/>
      <c r="H107" s="342"/>
      <c r="I107" s="342"/>
      <c r="J107" s="342"/>
      <c r="K107" s="342"/>
      <c r="L107" s="342"/>
      <c r="M107" s="342"/>
      <c r="N107" s="342"/>
      <c r="O107" s="342"/>
      <c r="P107" s="342"/>
      <c r="Q107" s="342"/>
      <c r="R107" s="342"/>
      <c r="S107" s="342"/>
      <c r="T107" s="342"/>
      <c r="U107" s="342"/>
      <c r="W107" s="342"/>
      <c r="X107" s="342"/>
      <c r="Y107" s="342"/>
    </row>
    <row r="108" spans="5:25" ht="12.75">
      <c r="E108" s="342"/>
      <c r="F108" s="342"/>
      <c r="G108" s="342"/>
      <c r="H108" s="342"/>
      <c r="I108" s="342"/>
      <c r="J108" s="342"/>
      <c r="K108" s="342"/>
      <c r="L108" s="342"/>
      <c r="M108" s="342"/>
      <c r="N108" s="342"/>
      <c r="O108" s="342"/>
      <c r="P108" s="342"/>
      <c r="Q108" s="342"/>
      <c r="R108" s="342"/>
      <c r="S108" s="342"/>
      <c r="T108" s="342"/>
      <c r="U108" s="342"/>
      <c r="W108" s="342"/>
      <c r="X108" s="342"/>
      <c r="Y108" s="342"/>
    </row>
    <row r="109" spans="5:25" ht="12.75">
      <c r="E109" s="342"/>
      <c r="F109" s="342"/>
      <c r="G109" s="342"/>
      <c r="H109" s="342"/>
      <c r="I109" s="342"/>
      <c r="J109" s="342"/>
      <c r="K109" s="342"/>
      <c r="L109" s="342"/>
      <c r="M109" s="342"/>
      <c r="N109" s="342"/>
      <c r="O109" s="342"/>
      <c r="P109" s="342"/>
      <c r="Q109" s="342"/>
      <c r="R109" s="342"/>
      <c r="S109" s="342"/>
      <c r="T109" s="342"/>
      <c r="U109" s="342"/>
      <c r="W109" s="342"/>
      <c r="X109" s="342"/>
      <c r="Y109" s="342"/>
    </row>
    <row r="110" spans="5:25" ht="12.75">
      <c r="E110" s="342"/>
      <c r="F110" s="342"/>
      <c r="G110" s="342"/>
      <c r="H110" s="342"/>
      <c r="I110" s="342"/>
      <c r="J110" s="342"/>
      <c r="K110" s="342"/>
      <c r="L110" s="342"/>
      <c r="M110" s="342"/>
      <c r="N110" s="342"/>
      <c r="O110" s="342"/>
      <c r="P110" s="342"/>
      <c r="Q110" s="342"/>
      <c r="R110" s="342"/>
      <c r="S110" s="342"/>
      <c r="T110" s="342"/>
      <c r="U110" s="342"/>
      <c r="W110" s="342"/>
      <c r="X110" s="342"/>
      <c r="Y110" s="342"/>
    </row>
    <row r="111" spans="5:25" ht="12.75">
      <c r="E111" s="342"/>
      <c r="F111" s="342"/>
      <c r="G111" s="342"/>
      <c r="H111" s="342"/>
      <c r="I111" s="342"/>
      <c r="J111" s="342"/>
      <c r="K111" s="342"/>
      <c r="L111" s="342"/>
      <c r="M111" s="342"/>
      <c r="N111" s="342"/>
      <c r="O111" s="342"/>
      <c r="P111" s="342"/>
      <c r="Q111" s="342"/>
      <c r="R111" s="342"/>
      <c r="S111" s="342"/>
      <c r="T111" s="342"/>
      <c r="U111" s="342"/>
      <c r="W111" s="342"/>
      <c r="X111" s="342"/>
      <c r="Y111" s="342"/>
    </row>
  </sheetData>
  <sheetProtection/>
  <mergeCells count="45">
    <mergeCell ref="V4:AC4"/>
    <mergeCell ref="E4:L4"/>
    <mergeCell ref="C30:D30"/>
    <mergeCell ref="A2:V2"/>
    <mergeCell ref="A4:C4"/>
    <mergeCell ref="B6:D6"/>
    <mergeCell ref="B7:D7"/>
    <mergeCell ref="M4:U4"/>
    <mergeCell ref="C8:D8"/>
    <mergeCell ref="C28:D28"/>
    <mergeCell ref="C31:D31"/>
    <mergeCell ref="C13:D13"/>
    <mergeCell ref="C16:D16"/>
    <mergeCell ref="B21:D21"/>
    <mergeCell ref="C22:D22"/>
    <mergeCell ref="C23:D23"/>
    <mergeCell ref="C24:D24"/>
    <mergeCell ref="C17:D17"/>
    <mergeCell ref="C20:D20"/>
    <mergeCell ref="C29:D29"/>
    <mergeCell ref="B32:D32"/>
    <mergeCell ref="B41:D41"/>
    <mergeCell ref="C42:D42"/>
    <mergeCell ref="C43:D43"/>
    <mergeCell ref="C36:D36"/>
    <mergeCell ref="C35:D35"/>
    <mergeCell ref="C37:D37"/>
    <mergeCell ref="A62:D62"/>
    <mergeCell ref="B60:D60"/>
    <mergeCell ref="C59:D59"/>
    <mergeCell ref="C50:D50"/>
    <mergeCell ref="B55:D55"/>
    <mergeCell ref="C58:D58"/>
    <mergeCell ref="B52:D52"/>
    <mergeCell ref="C53:D53"/>
    <mergeCell ref="C54:D54"/>
    <mergeCell ref="C57:D57"/>
    <mergeCell ref="C47:D47"/>
    <mergeCell ref="C33:D33"/>
    <mergeCell ref="C51:D51"/>
    <mergeCell ref="C34:D34"/>
    <mergeCell ref="B49:D49"/>
    <mergeCell ref="A61:D61"/>
    <mergeCell ref="C48:D48"/>
    <mergeCell ref="B56:D56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zoomScale="70" zoomScaleNormal="70" zoomScalePageLayoutView="0" workbookViewId="0" topLeftCell="A1">
      <selection activeCell="AD17" sqref="AD17"/>
    </sheetView>
  </sheetViews>
  <sheetFormatPr defaultColWidth="9.140625" defaultRowHeight="12.75"/>
  <cols>
    <col min="1" max="1" width="9.140625" style="9" customWidth="1"/>
    <col min="2" max="2" width="12.00390625" style="9" customWidth="1"/>
    <col min="3" max="3" width="41.7109375" style="9" bestFit="1" customWidth="1"/>
    <col min="4" max="4" width="12.140625" style="682" customWidth="1"/>
    <col min="5" max="5" width="8.421875" style="682" hidden="1" customWidth="1"/>
    <col min="6" max="6" width="9.00390625" style="682" hidden="1" customWidth="1"/>
    <col min="7" max="8" width="9.7109375" style="682" hidden="1" customWidth="1"/>
    <col min="9" max="9" width="9.7109375" style="682" customWidth="1"/>
    <col min="10" max="10" width="10.8515625" style="682" customWidth="1"/>
    <col min="11" max="11" width="9.7109375" style="682" customWidth="1"/>
    <col min="12" max="12" width="11.7109375" style="683" customWidth="1"/>
    <col min="13" max="13" width="11.57421875" style="683" hidden="1" customWidth="1"/>
    <col min="14" max="16" width="8.8515625" style="683" hidden="1" customWidth="1"/>
    <col min="17" max="18" width="10.7109375" style="683" customWidth="1"/>
    <col min="19" max="19" width="10.421875" style="683" customWidth="1"/>
    <col min="20" max="20" width="13.00390625" style="683" customWidth="1"/>
    <col min="21" max="21" width="8.140625" style="683" hidden="1" customWidth="1"/>
    <col min="22" max="22" width="9.00390625" style="9" hidden="1" customWidth="1"/>
    <col min="23" max="24" width="9.28125" style="9" hidden="1" customWidth="1"/>
    <col min="25" max="25" width="9.28125" style="9" customWidth="1"/>
    <col min="26" max="26" width="10.8515625" style="9" customWidth="1"/>
    <col min="27" max="27" width="10.7109375" style="9" customWidth="1"/>
    <col min="28" max="16384" width="9.140625" style="9" customWidth="1"/>
  </cols>
  <sheetData>
    <row r="1" spans="4:21" ht="12.75">
      <c r="D1" s="676"/>
      <c r="E1" s="676"/>
      <c r="F1" s="676"/>
      <c r="G1" s="676"/>
      <c r="H1" s="676"/>
      <c r="I1" s="676"/>
      <c r="J1" s="676"/>
      <c r="K1" s="676"/>
      <c r="L1" s="1221" t="s">
        <v>575</v>
      </c>
      <c r="M1" s="1221"/>
      <c r="N1" s="1221"/>
      <c r="O1" s="1221"/>
      <c r="P1" s="1221"/>
      <c r="Q1" s="1221"/>
      <c r="R1" s="1221"/>
      <c r="S1" s="1221"/>
      <c r="T1" s="1221"/>
      <c r="U1" s="677"/>
    </row>
    <row r="2" spans="1:21" ht="16.5" customHeight="1">
      <c r="A2" s="1222" t="s">
        <v>419</v>
      </c>
      <c r="B2" s="1222"/>
      <c r="C2" s="1222"/>
      <c r="D2" s="1222"/>
      <c r="E2" s="1222"/>
      <c r="F2" s="1222"/>
      <c r="G2" s="1222"/>
      <c r="H2" s="1222"/>
      <c r="I2" s="1222"/>
      <c r="J2" s="1222"/>
      <c r="K2" s="1222"/>
      <c r="L2" s="1222"/>
      <c r="M2" s="1222"/>
      <c r="N2" s="1222"/>
      <c r="O2" s="1222"/>
      <c r="P2" s="1222"/>
      <c r="Q2" s="1222"/>
      <c r="R2" s="1222"/>
      <c r="S2" s="1222"/>
      <c r="T2" s="1222"/>
      <c r="U2" s="678"/>
    </row>
    <row r="3" spans="1:21" ht="15" customHeight="1">
      <c r="A3" s="1223" t="s">
        <v>508</v>
      </c>
      <c r="B3" s="1223"/>
      <c r="C3" s="1223"/>
      <c r="D3" s="1223"/>
      <c r="E3" s="1223"/>
      <c r="F3" s="1223"/>
      <c r="G3" s="1223"/>
      <c r="H3" s="1223"/>
      <c r="I3" s="1223"/>
      <c r="J3" s="1223"/>
      <c r="K3" s="1223"/>
      <c r="L3" s="1223"/>
      <c r="M3" s="1223"/>
      <c r="N3" s="1223"/>
      <c r="O3" s="1223"/>
      <c r="P3" s="1223"/>
      <c r="Q3" s="1223"/>
      <c r="R3" s="1223"/>
      <c r="S3" s="1223"/>
      <c r="T3" s="1223"/>
      <c r="U3" s="679"/>
    </row>
    <row r="4" spans="1:21" ht="15" customHeight="1">
      <c r="A4" s="1224" t="s">
        <v>420</v>
      </c>
      <c r="B4" s="1224"/>
      <c r="C4" s="1224"/>
      <c r="D4" s="1224"/>
      <c r="E4" s="1224"/>
      <c r="F4" s="1224"/>
      <c r="G4" s="1224"/>
      <c r="H4" s="1224"/>
      <c r="I4" s="1224"/>
      <c r="J4" s="1224"/>
      <c r="K4" s="1224"/>
      <c r="L4" s="1224"/>
      <c r="M4" s="1224"/>
      <c r="N4" s="1224"/>
      <c r="O4" s="1224"/>
      <c r="P4" s="1224"/>
      <c r="Q4" s="1224"/>
      <c r="R4" s="1224"/>
      <c r="S4" s="1224"/>
      <c r="T4" s="1224"/>
      <c r="U4" s="680"/>
    </row>
    <row r="5" spans="2:20" ht="13.5" thickBot="1">
      <c r="B5" s="681"/>
      <c r="C5" s="681"/>
      <c r="T5" s="684" t="s">
        <v>373</v>
      </c>
    </row>
    <row r="6" spans="1:28" s="687" customFormat="1" ht="41.25" customHeight="1" thickBot="1">
      <c r="A6" s="685" t="s">
        <v>6</v>
      </c>
      <c r="B6" s="1225" t="s">
        <v>4</v>
      </c>
      <c r="C6" s="1225"/>
      <c r="D6" s="1226" t="s">
        <v>5</v>
      </c>
      <c r="E6" s="1227"/>
      <c r="F6" s="1227"/>
      <c r="G6" s="1227"/>
      <c r="H6" s="1227"/>
      <c r="I6" s="1228"/>
      <c r="J6" s="1228"/>
      <c r="K6" s="1229"/>
      <c r="L6" s="1226" t="s">
        <v>421</v>
      </c>
      <c r="M6" s="1227"/>
      <c r="N6" s="1227"/>
      <c r="O6" s="1227"/>
      <c r="P6" s="1228"/>
      <c r="Q6" s="1228"/>
      <c r="R6" s="1228"/>
      <c r="S6" s="1229"/>
      <c r="T6" s="1226" t="s">
        <v>422</v>
      </c>
      <c r="U6" s="1227"/>
      <c r="V6" s="1227"/>
      <c r="W6" s="1227"/>
      <c r="X6" s="1227"/>
      <c r="Y6" s="1228"/>
      <c r="Z6" s="1228"/>
      <c r="AA6" s="1229"/>
      <c r="AB6" s="686"/>
    </row>
    <row r="7" spans="1:27" s="687" customFormat="1" ht="41.25" customHeight="1" thickBot="1">
      <c r="A7" s="688"/>
      <c r="B7" s="689"/>
      <c r="C7" s="689"/>
      <c r="D7" s="690" t="s">
        <v>71</v>
      </c>
      <c r="E7" s="691" t="s">
        <v>245</v>
      </c>
      <c r="F7" s="691" t="s">
        <v>248</v>
      </c>
      <c r="G7" s="691" t="s">
        <v>251</v>
      </c>
      <c r="H7" s="691" t="s">
        <v>267</v>
      </c>
      <c r="I7" s="972" t="s">
        <v>271</v>
      </c>
      <c r="J7" s="972" t="s">
        <v>254</v>
      </c>
      <c r="K7" s="692" t="s">
        <v>394</v>
      </c>
      <c r="L7" s="690" t="s">
        <v>71</v>
      </c>
      <c r="M7" s="691" t="s">
        <v>245</v>
      </c>
      <c r="N7" s="691" t="s">
        <v>248</v>
      </c>
      <c r="O7" s="691" t="s">
        <v>251</v>
      </c>
      <c r="P7" s="691" t="s">
        <v>267</v>
      </c>
      <c r="Q7" s="972" t="s">
        <v>271</v>
      </c>
      <c r="R7" s="972" t="s">
        <v>254</v>
      </c>
      <c r="S7" s="692" t="s">
        <v>394</v>
      </c>
      <c r="T7" s="690" t="s">
        <v>71</v>
      </c>
      <c r="U7" s="691" t="s">
        <v>245</v>
      </c>
      <c r="V7" s="691" t="s">
        <v>248</v>
      </c>
      <c r="W7" s="691" t="s">
        <v>251</v>
      </c>
      <c r="X7" s="691" t="s">
        <v>267</v>
      </c>
      <c r="Y7" s="972" t="s">
        <v>271</v>
      </c>
      <c r="Z7" s="972" t="s">
        <v>254</v>
      </c>
      <c r="AA7" s="692" t="s">
        <v>394</v>
      </c>
    </row>
    <row r="8" spans="1:27" ht="27.75" customHeight="1">
      <c r="A8" s="59">
        <v>1</v>
      </c>
      <c r="B8" s="1220" t="s">
        <v>423</v>
      </c>
      <c r="C8" s="1220"/>
      <c r="D8" s="693">
        <v>1550</v>
      </c>
      <c r="E8" s="693">
        <v>1550</v>
      </c>
      <c r="F8" s="693">
        <v>1550</v>
      </c>
      <c r="G8" s="693">
        <v>1550</v>
      </c>
      <c r="H8" s="693">
        <v>1550</v>
      </c>
      <c r="I8" s="693">
        <v>1550</v>
      </c>
      <c r="J8" s="1035">
        <v>457</v>
      </c>
      <c r="K8" s="695">
        <f>J8/I8</f>
        <v>0.2948387096774194</v>
      </c>
      <c r="L8" s="693">
        <v>1550</v>
      </c>
      <c r="M8" s="693">
        <v>1550</v>
      </c>
      <c r="N8" s="693">
        <v>1550</v>
      </c>
      <c r="O8" s="693">
        <v>1550</v>
      </c>
      <c r="P8" s="693">
        <v>1550</v>
      </c>
      <c r="Q8" s="693">
        <v>1550</v>
      </c>
      <c r="R8" s="1035">
        <v>457</v>
      </c>
      <c r="S8" s="695">
        <f>R8/Q8</f>
        <v>0.2948387096774194</v>
      </c>
      <c r="T8" s="693"/>
      <c r="U8" s="694"/>
      <c r="V8" s="694"/>
      <c r="W8" s="694"/>
      <c r="X8" s="694"/>
      <c r="Y8" s="973"/>
      <c r="Z8" s="973"/>
      <c r="AA8" s="696"/>
    </row>
    <row r="9" spans="1:27" ht="27.75" customHeight="1">
      <c r="A9" s="60">
        <v>2</v>
      </c>
      <c r="B9" s="1213" t="s">
        <v>424</v>
      </c>
      <c r="C9" s="1213"/>
      <c r="D9" s="698">
        <v>662</v>
      </c>
      <c r="E9" s="698">
        <v>662</v>
      </c>
      <c r="F9" s="698">
        <v>662</v>
      </c>
      <c r="G9" s="698">
        <v>662</v>
      </c>
      <c r="H9" s="698">
        <v>662</v>
      </c>
      <c r="I9" s="698">
        <v>662</v>
      </c>
      <c r="J9" s="1036">
        <v>29</v>
      </c>
      <c r="K9" s="700">
        <f>J9/I9</f>
        <v>0.04380664652567976</v>
      </c>
      <c r="L9" s="698">
        <v>662</v>
      </c>
      <c r="M9" s="698">
        <v>662</v>
      </c>
      <c r="N9" s="698">
        <v>662</v>
      </c>
      <c r="O9" s="698">
        <v>662</v>
      </c>
      <c r="P9" s="698">
        <v>662</v>
      </c>
      <c r="Q9" s="698">
        <v>662</v>
      </c>
      <c r="R9" s="1036">
        <v>29</v>
      </c>
      <c r="S9" s="700">
        <f>R9/Q9</f>
        <v>0.04380664652567976</v>
      </c>
      <c r="T9" s="698"/>
      <c r="U9" s="699"/>
      <c r="V9" s="699"/>
      <c r="W9" s="699"/>
      <c r="X9" s="699"/>
      <c r="Y9" s="974"/>
      <c r="Z9" s="974"/>
      <c r="AA9" s="701"/>
    </row>
    <row r="10" spans="1:27" ht="27.75" customHeight="1">
      <c r="A10" s="60">
        <v>3</v>
      </c>
      <c r="B10" s="1213" t="s">
        <v>425</v>
      </c>
      <c r="C10" s="1213"/>
      <c r="D10" s="698">
        <v>15000</v>
      </c>
      <c r="E10" s="698">
        <v>15000</v>
      </c>
      <c r="F10" s="698">
        <v>15000</v>
      </c>
      <c r="G10" s="698">
        <v>15000</v>
      </c>
      <c r="H10" s="698">
        <v>17000</v>
      </c>
      <c r="I10" s="698">
        <v>17000</v>
      </c>
      <c r="J10" s="1036">
        <v>15520</v>
      </c>
      <c r="K10" s="700">
        <f aca="true" t="shared" si="0" ref="K10:K19">J10/I10</f>
        <v>0.9129411764705883</v>
      </c>
      <c r="L10" s="698">
        <v>15000</v>
      </c>
      <c r="M10" s="698">
        <v>15000</v>
      </c>
      <c r="N10" s="698">
        <v>15000</v>
      </c>
      <c r="O10" s="698">
        <v>15000</v>
      </c>
      <c r="P10" s="698">
        <v>17000</v>
      </c>
      <c r="Q10" s="698">
        <v>17000</v>
      </c>
      <c r="R10" s="1036">
        <v>15520</v>
      </c>
      <c r="S10" s="700">
        <f aca="true" t="shared" si="1" ref="S10:S19">R10/Q10</f>
        <v>0.9129411764705883</v>
      </c>
      <c r="T10" s="698"/>
      <c r="U10" s="699"/>
      <c r="V10" s="699"/>
      <c r="W10" s="699"/>
      <c r="X10" s="699"/>
      <c r="Y10" s="974"/>
      <c r="Z10" s="974"/>
      <c r="AA10" s="701"/>
    </row>
    <row r="11" spans="1:27" ht="27.75" customHeight="1">
      <c r="A11" s="60">
        <v>4</v>
      </c>
      <c r="B11" s="1213" t="s">
        <v>426</v>
      </c>
      <c r="C11" s="1213"/>
      <c r="D11" s="698">
        <v>1135</v>
      </c>
      <c r="E11" s="698">
        <v>1135</v>
      </c>
      <c r="F11" s="698">
        <v>1135</v>
      </c>
      <c r="G11" s="698">
        <v>1135</v>
      </c>
      <c r="H11" s="698">
        <v>1135</v>
      </c>
      <c r="I11" s="698">
        <v>1135</v>
      </c>
      <c r="J11" s="1036">
        <v>1572</v>
      </c>
      <c r="K11" s="700">
        <f t="shared" si="0"/>
        <v>1.3850220264317181</v>
      </c>
      <c r="L11" s="698"/>
      <c r="M11" s="698"/>
      <c r="N11" s="698"/>
      <c r="O11" s="698"/>
      <c r="P11" s="698"/>
      <c r="Q11" s="698"/>
      <c r="R11" s="1036"/>
      <c r="S11" s="700"/>
      <c r="T11" s="698">
        <v>1135</v>
      </c>
      <c r="U11" s="698">
        <v>1135</v>
      </c>
      <c r="V11" s="698">
        <v>1135</v>
      </c>
      <c r="W11" s="699">
        <v>1135</v>
      </c>
      <c r="X11" s="699">
        <v>1135</v>
      </c>
      <c r="Y11" s="699">
        <v>1135</v>
      </c>
      <c r="Z11" s="1036">
        <v>1572</v>
      </c>
      <c r="AA11" s="700">
        <f>Z11/Y11</f>
        <v>1.3850220264317181</v>
      </c>
    </row>
    <row r="12" spans="1:27" ht="27.75" customHeight="1">
      <c r="A12" s="60">
        <v>5</v>
      </c>
      <c r="B12" s="1213" t="s">
        <v>427</v>
      </c>
      <c r="C12" s="1213"/>
      <c r="D12" s="698">
        <v>5080</v>
      </c>
      <c r="E12" s="698">
        <v>5080</v>
      </c>
      <c r="F12" s="698">
        <v>5080</v>
      </c>
      <c r="G12" s="698">
        <v>5080</v>
      </c>
      <c r="H12" s="698">
        <v>5080</v>
      </c>
      <c r="I12" s="698">
        <v>5080</v>
      </c>
      <c r="J12" s="1036">
        <v>3382</v>
      </c>
      <c r="K12" s="700">
        <f t="shared" si="0"/>
        <v>0.665748031496063</v>
      </c>
      <c r="L12" s="698">
        <v>5080</v>
      </c>
      <c r="M12" s="698">
        <v>5080</v>
      </c>
      <c r="N12" s="698">
        <v>5080</v>
      </c>
      <c r="O12" s="698">
        <v>5080</v>
      </c>
      <c r="P12" s="698">
        <v>5080</v>
      </c>
      <c r="Q12" s="698">
        <v>5080</v>
      </c>
      <c r="R12" s="1036">
        <v>3382</v>
      </c>
      <c r="S12" s="700">
        <f t="shared" si="1"/>
        <v>0.665748031496063</v>
      </c>
      <c r="T12" s="698"/>
      <c r="U12" s="699"/>
      <c r="V12" s="699"/>
      <c r="W12" s="699"/>
      <c r="X12" s="699"/>
      <c r="Y12" s="974"/>
      <c r="Z12" s="974"/>
      <c r="AA12" s="701"/>
    </row>
    <row r="13" spans="1:27" ht="27.75" customHeight="1">
      <c r="A13" s="60">
        <v>6</v>
      </c>
      <c r="B13" s="1213" t="s">
        <v>428</v>
      </c>
      <c r="C13" s="1213"/>
      <c r="D13" s="698">
        <v>43159</v>
      </c>
      <c r="E13" s="698">
        <v>43159</v>
      </c>
      <c r="F13" s="698">
        <f>43159+6639</f>
        <v>49798</v>
      </c>
      <c r="G13" s="698">
        <f>43159+6639+400</f>
        <v>50198</v>
      </c>
      <c r="H13" s="698">
        <f>43159+6639+400+500</f>
        <v>50698</v>
      </c>
      <c r="I13" s="698">
        <f>43159+6639+400+500+3000+100+87894</f>
        <v>141692</v>
      </c>
      <c r="J13" s="1036">
        <v>32548</v>
      </c>
      <c r="K13" s="700">
        <f t="shared" si="0"/>
        <v>0.2297095107698388</v>
      </c>
      <c r="L13" s="698">
        <v>43159</v>
      </c>
      <c r="M13" s="698">
        <v>43159</v>
      </c>
      <c r="N13" s="698">
        <f>43159+6639</f>
        <v>49798</v>
      </c>
      <c r="O13" s="698">
        <f>43159+6639+400</f>
        <v>50198</v>
      </c>
      <c r="P13" s="698">
        <f>43159+6639+400+500</f>
        <v>50698</v>
      </c>
      <c r="Q13" s="698">
        <f>43159+6639+400+500+3000+100+87894</f>
        <v>141692</v>
      </c>
      <c r="R13" s="1036">
        <v>32548</v>
      </c>
      <c r="S13" s="700">
        <f t="shared" si="1"/>
        <v>0.2297095107698388</v>
      </c>
      <c r="T13" s="698"/>
      <c r="U13" s="699"/>
      <c r="V13" s="699"/>
      <c r="W13" s="699"/>
      <c r="X13" s="699"/>
      <c r="Y13" s="974"/>
      <c r="Z13" s="974"/>
      <c r="AA13" s="701"/>
    </row>
    <row r="14" spans="1:27" ht="27.75" customHeight="1">
      <c r="A14" s="60">
        <v>7</v>
      </c>
      <c r="B14" s="697" t="s">
        <v>429</v>
      </c>
      <c r="C14" s="697"/>
      <c r="D14" s="698">
        <v>273</v>
      </c>
      <c r="E14" s="698">
        <v>273</v>
      </c>
      <c r="F14" s="698">
        <v>273</v>
      </c>
      <c r="G14" s="698">
        <v>273</v>
      </c>
      <c r="H14" s="698">
        <v>273</v>
      </c>
      <c r="I14" s="698">
        <v>273</v>
      </c>
      <c r="J14" s="1036">
        <v>8</v>
      </c>
      <c r="K14" s="700">
        <f t="shared" si="0"/>
        <v>0.029304029304029304</v>
      </c>
      <c r="L14" s="698">
        <v>273</v>
      </c>
      <c r="M14" s="698">
        <v>273</v>
      </c>
      <c r="N14" s="698">
        <v>273</v>
      </c>
      <c r="O14" s="698">
        <v>273</v>
      </c>
      <c r="P14" s="698">
        <v>273</v>
      </c>
      <c r="Q14" s="698">
        <v>273</v>
      </c>
      <c r="R14" s="1036">
        <v>8</v>
      </c>
      <c r="S14" s="700">
        <f t="shared" si="1"/>
        <v>0.029304029304029304</v>
      </c>
      <c r="T14" s="698"/>
      <c r="U14" s="699"/>
      <c r="V14" s="699"/>
      <c r="W14" s="699"/>
      <c r="X14" s="699"/>
      <c r="Y14" s="974"/>
      <c r="Z14" s="974"/>
      <c r="AA14" s="701"/>
    </row>
    <row r="15" spans="1:27" ht="27.75" customHeight="1">
      <c r="A15" s="60">
        <v>8</v>
      </c>
      <c r="B15" s="1213" t="s">
        <v>430</v>
      </c>
      <c r="C15" s="1213"/>
      <c r="D15" s="698">
        <v>1793</v>
      </c>
      <c r="E15" s="698">
        <v>1793</v>
      </c>
      <c r="F15" s="698">
        <v>1793</v>
      </c>
      <c r="G15" s="698">
        <v>1793</v>
      </c>
      <c r="H15" s="698">
        <v>1793</v>
      </c>
      <c r="I15" s="698">
        <v>1793</v>
      </c>
      <c r="J15" s="1036">
        <v>1332</v>
      </c>
      <c r="K15" s="700">
        <f t="shared" si="0"/>
        <v>0.7428890128276632</v>
      </c>
      <c r="L15" s="698">
        <v>1793</v>
      </c>
      <c r="M15" s="698">
        <v>1793</v>
      </c>
      <c r="N15" s="698">
        <v>1793</v>
      </c>
      <c r="O15" s="698">
        <v>1793</v>
      </c>
      <c r="P15" s="698">
        <v>1793</v>
      </c>
      <c r="Q15" s="698">
        <v>1793</v>
      </c>
      <c r="R15" s="1036">
        <v>1332</v>
      </c>
      <c r="S15" s="700">
        <f t="shared" si="1"/>
        <v>0.7428890128276632</v>
      </c>
      <c r="T15" s="698"/>
      <c r="U15" s="699"/>
      <c r="V15" s="699"/>
      <c r="W15" s="699"/>
      <c r="X15" s="699"/>
      <c r="Y15" s="974"/>
      <c r="Z15" s="974"/>
      <c r="AA15" s="701"/>
    </row>
    <row r="16" spans="1:27" ht="27.75" customHeight="1">
      <c r="A16" s="60">
        <v>9</v>
      </c>
      <c r="B16" s="1213" t="s">
        <v>431</v>
      </c>
      <c r="C16" s="1213"/>
      <c r="D16" s="698">
        <v>212</v>
      </c>
      <c r="E16" s="698">
        <v>212</v>
      </c>
      <c r="F16" s="698">
        <v>212</v>
      </c>
      <c r="G16" s="698">
        <v>212</v>
      </c>
      <c r="H16" s="698">
        <v>212</v>
      </c>
      <c r="I16" s="698">
        <v>212</v>
      </c>
      <c r="J16" s="1036">
        <v>239</v>
      </c>
      <c r="K16" s="700">
        <f t="shared" si="0"/>
        <v>1.1273584905660377</v>
      </c>
      <c r="L16" s="698">
        <v>212</v>
      </c>
      <c r="M16" s="698">
        <v>212</v>
      </c>
      <c r="N16" s="698">
        <v>212</v>
      </c>
      <c r="O16" s="698">
        <v>212</v>
      </c>
      <c r="P16" s="698">
        <v>212</v>
      </c>
      <c r="Q16" s="698">
        <v>212</v>
      </c>
      <c r="R16" s="1036">
        <v>239</v>
      </c>
      <c r="S16" s="700">
        <f t="shared" si="1"/>
        <v>1.1273584905660377</v>
      </c>
      <c r="T16" s="698"/>
      <c r="U16" s="699"/>
      <c r="V16" s="699"/>
      <c r="W16" s="699"/>
      <c r="X16" s="699"/>
      <c r="Y16" s="974"/>
      <c r="Z16" s="974"/>
      <c r="AA16" s="701"/>
    </row>
    <row r="17" spans="1:27" ht="36" customHeight="1">
      <c r="A17" s="60">
        <v>10</v>
      </c>
      <c r="B17" s="1214" t="s">
        <v>432</v>
      </c>
      <c r="C17" s="1215"/>
      <c r="D17" s="698">
        <v>178</v>
      </c>
      <c r="E17" s="698">
        <v>178</v>
      </c>
      <c r="F17" s="698">
        <v>178</v>
      </c>
      <c r="G17" s="698">
        <v>178</v>
      </c>
      <c r="H17" s="698">
        <v>178</v>
      </c>
      <c r="I17" s="698">
        <v>178</v>
      </c>
      <c r="J17" s="1036">
        <v>402</v>
      </c>
      <c r="K17" s="700">
        <f t="shared" si="0"/>
        <v>2.258426966292135</v>
      </c>
      <c r="L17" s="698">
        <v>178</v>
      </c>
      <c r="M17" s="698">
        <v>178</v>
      </c>
      <c r="N17" s="698">
        <v>178</v>
      </c>
      <c r="O17" s="698">
        <v>178</v>
      </c>
      <c r="P17" s="698">
        <v>178</v>
      </c>
      <c r="Q17" s="698">
        <v>178</v>
      </c>
      <c r="R17" s="1036">
        <v>402</v>
      </c>
      <c r="S17" s="700">
        <f t="shared" si="1"/>
        <v>2.258426966292135</v>
      </c>
      <c r="T17" s="698"/>
      <c r="U17" s="699"/>
      <c r="V17" s="699"/>
      <c r="W17" s="699"/>
      <c r="X17" s="699"/>
      <c r="Y17" s="974"/>
      <c r="Z17" s="974"/>
      <c r="AA17" s="701"/>
    </row>
    <row r="18" spans="1:27" ht="27.75" customHeight="1">
      <c r="A18" s="60">
        <v>11</v>
      </c>
      <c r="B18" s="1216" t="s">
        <v>433</v>
      </c>
      <c r="C18" s="1216"/>
      <c r="D18" s="702">
        <v>2730</v>
      </c>
      <c r="E18" s="702">
        <v>2730</v>
      </c>
      <c r="F18" s="702">
        <v>2730</v>
      </c>
      <c r="G18" s="702">
        <v>2730</v>
      </c>
      <c r="H18" s="702">
        <v>2730</v>
      </c>
      <c r="I18" s="702">
        <v>2730</v>
      </c>
      <c r="J18" s="1037">
        <v>242</v>
      </c>
      <c r="K18" s="700">
        <f t="shared" si="0"/>
        <v>0.08864468864468865</v>
      </c>
      <c r="L18" s="702">
        <v>2730</v>
      </c>
      <c r="M18" s="702">
        <v>2730</v>
      </c>
      <c r="N18" s="702">
        <v>2730</v>
      </c>
      <c r="O18" s="702">
        <v>2730</v>
      </c>
      <c r="P18" s="702">
        <v>2730</v>
      </c>
      <c r="Q18" s="702">
        <v>2730</v>
      </c>
      <c r="R18" s="1037">
        <v>242</v>
      </c>
      <c r="S18" s="700">
        <f t="shared" si="1"/>
        <v>0.08864468864468865</v>
      </c>
      <c r="T18" s="702"/>
      <c r="U18" s="703"/>
      <c r="V18" s="703"/>
      <c r="W18" s="703"/>
      <c r="X18" s="703"/>
      <c r="Y18" s="975"/>
      <c r="Z18" s="975"/>
      <c r="AA18" s="704"/>
    </row>
    <row r="19" spans="1:27" ht="27.75" customHeight="1" hidden="1">
      <c r="A19" s="60">
        <v>12</v>
      </c>
      <c r="B19" s="1217" t="s">
        <v>461</v>
      </c>
      <c r="C19" s="1216"/>
      <c r="D19" s="702"/>
      <c r="E19" s="702"/>
      <c r="F19" s="702"/>
      <c r="G19" s="702"/>
      <c r="H19" s="702"/>
      <c r="I19" s="702"/>
      <c r="J19" s="1037"/>
      <c r="K19" s="700" t="e">
        <f t="shared" si="0"/>
        <v>#DIV/0!</v>
      </c>
      <c r="L19" s="702"/>
      <c r="M19" s="702"/>
      <c r="N19" s="702"/>
      <c r="O19" s="702"/>
      <c r="P19" s="702"/>
      <c r="Q19" s="702"/>
      <c r="R19" s="1037"/>
      <c r="S19" s="700" t="e">
        <f t="shared" si="1"/>
        <v>#DIV/0!</v>
      </c>
      <c r="T19" s="702"/>
      <c r="U19" s="703"/>
      <c r="V19" s="703"/>
      <c r="W19" s="703"/>
      <c r="X19" s="703"/>
      <c r="Y19" s="975"/>
      <c r="Z19" s="975"/>
      <c r="AA19" s="704"/>
    </row>
    <row r="20" spans="1:27" ht="27.75" customHeight="1" thickBot="1">
      <c r="A20" s="705">
        <v>13</v>
      </c>
      <c r="B20" s="1218" t="s">
        <v>462</v>
      </c>
      <c r="C20" s="1219"/>
      <c r="D20" s="706"/>
      <c r="E20" s="706"/>
      <c r="F20" s="706"/>
      <c r="G20" s="706"/>
      <c r="H20" s="706"/>
      <c r="I20" s="706"/>
      <c r="J20" s="1038">
        <v>252</v>
      </c>
      <c r="K20" s="700"/>
      <c r="L20" s="706"/>
      <c r="M20" s="706"/>
      <c r="N20" s="706"/>
      <c r="O20" s="706"/>
      <c r="P20" s="706"/>
      <c r="Q20" s="706"/>
      <c r="R20" s="1038">
        <v>252</v>
      </c>
      <c r="S20" s="700"/>
      <c r="T20" s="706"/>
      <c r="U20" s="707"/>
      <c r="V20" s="707"/>
      <c r="W20" s="707"/>
      <c r="X20" s="707"/>
      <c r="Y20" s="976"/>
      <c r="Z20" s="976"/>
      <c r="AA20" s="708"/>
    </row>
    <row r="21" spans="1:27" ht="32.25" customHeight="1" thickBot="1">
      <c r="A21" s="709"/>
      <c r="B21" s="1212" t="s">
        <v>434</v>
      </c>
      <c r="C21" s="1212"/>
      <c r="D21" s="710">
        <f aca="true" t="shared" si="2" ref="D21:I21">SUM(D8:D18)</f>
        <v>71772</v>
      </c>
      <c r="E21" s="710">
        <f t="shared" si="2"/>
        <v>71772</v>
      </c>
      <c r="F21" s="710">
        <f t="shared" si="2"/>
        <v>78411</v>
      </c>
      <c r="G21" s="710">
        <f t="shared" si="2"/>
        <v>78811</v>
      </c>
      <c r="H21" s="710">
        <f t="shared" si="2"/>
        <v>81311</v>
      </c>
      <c r="I21" s="710">
        <f t="shared" si="2"/>
        <v>172305</v>
      </c>
      <c r="J21" s="710">
        <f>SUM(J8:J20)</f>
        <v>55983</v>
      </c>
      <c r="K21" s="1385">
        <f>J21/I21</f>
        <v>0.3249064159484635</v>
      </c>
      <c r="L21" s="710">
        <f aca="true" t="shared" si="3" ref="L21:Q21">SUM(L8:L18)</f>
        <v>70637</v>
      </c>
      <c r="M21" s="710">
        <f t="shared" si="3"/>
        <v>70637</v>
      </c>
      <c r="N21" s="710">
        <f t="shared" si="3"/>
        <v>77276</v>
      </c>
      <c r="O21" s="710">
        <f t="shared" si="3"/>
        <v>77676</v>
      </c>
      <c r="P21" s="710">
        <f t="shared" si="3"/>
        <v>80176</v>
      </c>
      <c r="Q21" s="710">
        <f t="shared" si="3"/>
        <v>171170</v>
      </c>
      <c r="R21" s="710">
        <f>SUM(R8:R20)</f>
        <v>54411</v>
      </c>
      <c r="S21" s="1385">
        <f>R21/Q21</f>
        <v>0.3178769644213355</v>
      </c>
      <c r="T21" s="710">
        <f aca="true" t="shared" si="4" ref="T21:Z21">SUM(T8:T18)</f>
        <v>1135</v>
      </c>
      <c r="U21" s="711">
        <f t="shared" si="4"/>
        <v>1135</v>
      </c>
      <c r="V21" s="711">
        <f t="shared" si="4"/>
        <v>1135</v>
      </c>
      <c r="W21" s="711">
        <f t="shared" si="4"/>
        <v>1135</v>
      </c>
      <c r="X21" s="711">
        <f t="shared" si="4"/>
        <v>1135</v>
      </c>
      <c r="Y21" s="711">
        <f t="shared" si="4"/>
        <v>1135</v>
      </c>
      <c r="Z21" s="711">
        <f t="shared" si="4"/>
        <v>1572</v>
      </c>
      <c r="AA21" s="1385">
        <f>Z21/Y21</f>
        <v>1.3850220264317181</v>
      </c>
    </row>
    <row r="23" spans="4:21" ht="12.75">
      <c r="D23" s="9"/>
      <c r="E23" s="9"/>
      <c r="F23" s="9"/>
      <c r="G23" s="9"/>
      <c r="H23" s="9"/>
      <c r="I23" s="9"/>
      <c r="J23" s="9"/>
      <c r="K23" s="9"/>
      <c r="L23" s="9"/>
      <c r="M23" s="9"/>
      <c r="T23" s="9"/>
      <c r="U23" s="9"/>
    </row>
    <row r="24" spans="4:21" ht="12.75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4:21" ht="12.75">
      <c r="D25" s="9"/>
      <c r="E25" s="9"/>
      <c r="F25" s="9"/>
      <c r="G25" s="9"/>
      <c r="H25" s="683"/>
      <c r="I25" s="683"/>
      <c r="J25" s="683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4:21" ht="12.75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4:21" ht="12.75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4:21" ht="12.75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4:21" ht="12.7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4:21" ht="12.75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4:21" ht="12.75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4:21" ht="12.75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4:21" ht="12.75"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4:21" ht="12.75"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4:21" ht="12.75"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4:21" ht="12.75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4:21" ht="12.75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4:21" ht="12.75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</sheetData>
  <sheetProtection/>
  <mergeCells count="21">
    <mergeCell ref="L1:T1"/>
    <mergeCell ref="A2:T2"/>
    <mergeCell ref="A3:T3"/>
    <mergeCell ref="A4:T4"/>
    <mergeCell ref="B6:C6"/>
    <mergeCell ref="D6:K6"/>
    <mergeCell ref="L6:S6"/>
    <mergeCell ref="T6:AA6"/>
    <mergeCell ref="B8:C8"/>
    <mergeCell ref="B9:C9"/>
    <mergeCell ref="B10:C10"/>
    <mergeCell ref="B11:C11"/>
    <mergeCell ref="B12:C12"/>
    <mergeCell ref="B13:C13"/>
    <mergeCell ref="B21:C21"/>
    <mergeCell ref="B15:C15"/>
    <mergeCell ref="B16:C16"/>
    <mergeCell ref="B17:C17"/>
    <mergeCell ref="B18:C18"/>
    <mergeCell ref="B19:C19"/>
    <mergeCell ref="B20:C20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="70" zoomScaleNormal="70" workbookViewId="0" topLeftCell="A19">
      <selection activeCell="H39" sqref="H39"/>
    </sheetView>
  </sheetViews>
  <sheetFormatPr defaultColWidth="9.140625" defaultRowHeight="12.75"/>
  <cols>
    <col min="1" max="1" width="40.00390625" style="13" customWidth="1"/>
    <col min="2" max="2" width="13.28125" style="13" customWidth="1"/>
    <col min="3" max="3" width="15.7109375" style="31" customWidth="1"/>
    <col min="4" max="6" width="17.00390625" style="31" hidden="1" customWidth="1"/>
    <col min="7" max="7" width="12.7109375" style="31" hidden="1" customWidth="1"/>
    <col min="8" max="9" width="12.7109375" style="31" customWidth="1"/>
    <col min="10" max="10" width="17.00390625" style="31" customWidth="1"/>
    <col min="11" max="11" width="15.8515625" style="31" customWidth="1"/>
    <col min="12" max="14" width="17.00390625" style="31" hidden="1" customWidth="1"/>
    <col min="15" max="15" width="12.7109375" style="31" hidden="1" customWidth="1"/>
    <col min="16" max="17" width="12.7109375" style="31" customWidth="1"/>
    <col min="18" max="18" width="12.57421875" style="31" customWidth="1"/>
    <col min="19" max="19" width="14.7109375" style="31" customWidth="1"/>
    <col min="20" max="20" width="14.28125" style="13" hidden="1" customWidth="1"/>
    <col min="21" max="22" width="10.421875" style="13" hidden="1" customWidth="1"/>
    <col min="23" max="23" width="12.7109375" style="13" hidden="1" customWidth="1"/>
    <col min="24" max="25" width="12.7109375" style="13" customWidth="1"/>
    <col min="26" max="26" width="16.140625" style="13" customWidth="1"/>
    <col min="27" max="27" width="17.7109375" style="13" customWidth="1"/>
    <col min="28" max="28" width="9.140625" style="13" customWidth="1"/>
    <col min="29" max="29" width="13.28125" style="13" bestFit="1" customWidth="1"/>
    <col min="30" max="30" width="15.57421875" style="13" bestFit="1" customWidth="1"/>
    <col min="31" max="16384" width="9.140625" style="13" customWidth="1"/>
  </cols>
  <sheetData>
    <row r="1" spans="11:19" ht="24.75" customHeight="1">
      <c r="K1" s="1249" t="s">
        <v>392</v>
      </c>
      <c r="L1" s="1249"/>
      <c r="M1" s="1249"/>
      <c r="N1" s="1249"/>
      <c r="O1" s="1249"/>
      <c r="P1" s="1249"/>
      <c r="Q1" s="1249"/>
      <c r="R1" s="1249"/>
      <c r="S1" s="1249"/>
    </row>
    <row r="2" spans="1:19" ht="37.5" customHeight="1">
      <c r="A2" s="1250" t="s">
        <v>435</v>
      </c>
      <c r="B2" s="1250"/>
      <c r="C2" s="1251"/>
      <c r="D2" s="1251"/>
      <c r="E2" s="1251"/>
      <c r="F2" s="1251"/>
      <c r="G2" s="1251"/>
      <c r="H2" s="1251"/>
      <c r="I2" s="1251"/>
      <c r="J2" s="1251"/>
      <c r="K2" s="1251"/>
      <c r="L2" s="1251"/>
      <c r="M2" s="1251"/>
      <c r="N2" s="1251"/>
      <c r="O2" s="1251"/>
      <c r="P2" s="1251"/>
      <c r="Q2" s="1251"/>
      <c r="R2" s="1251"/>
      <c r="S2" s="1251"/>
    </row>
    <row r="3" spans="1:19" ht="18.75" customHeight="1">
      <c r="A3" s="1252" t="s">
        <v>508</v>
      </c>
      <c r="B3" s="1252"/>
      <c r="C3" s="1252"/>
      <c r="D3" s="1252"/>
      <c r="E3" s="1252"/>
      <c r="F3" s="1252"/>
      <c r="G3" s="1252"/>
      <c r="H3" s="1252"/>
      <c r="I3" s="1252"/>
      <c r="J3" s="1252"/>
      <c r="K3" s="1252"/>
      <c r="L3" s="1252"/>
      <c r="M3" s="1252"/>
      <c r="N3" s="1252"/>
      <c r="O3" s="1252"/>
      <c r="P3" s="1252"/>
      <c r="Q3" s="1252"/>
      <c r="R3" s="1252"/>
      <c r="S3" s="1252"/>
    </row>
    <row r="4" spans="1:19" ht="15.75">
      <c r="A4" s="1253" t="s">
        <v>436</v>
      </c>
      <c r="B4" s="1253"/>
      <c r="C4" s="1253"/>
      <c r="D4" s="1253"/>
      <c r="E4" s="1253"/>
      <c r="F4" s="1253"/>
      <c r="G4" s="1253"/>
      <c r="H4" s="1253"/>
      <c r="I4" s="1253"/>
      <c r="J4" s="1253"/>
      <c r="K4" s="1253"/>
      <c r="L4" s="1253"/>
      <c r="M4" s="1253"/>
      <c r="N4" s="1253"/>
      <c r="O4" s="1253"/>
      <c r="P4" s="1253"/>
      <c r="Q4" s="1253"/>
      <c r="R4" s="1253"/>
      <c r="S4" s="1253"/>
    </row>
    <row r="5" spans="1:19" ht="19.5" thickBot="1">
      <c r="A5" s="713"/>
      <c r="B5" s="713"/>
      <c r="S5" s="712" t="s">
        <v>2</v>
      </c>
    </row>
    <row r="6" spans="1:27" ht="19.5" customHeight="1">
      <c r="A6" s="1231" t="s">
        <v>437</v>
      </c>
      <c r="B6" s="1234" t="s">
        <v>438</v>
      </c>
      <c r="C6" s="1237" t="s">
        <v>5</v>
      </c>
      <c r="D6" s="1238"/>
      <c r="E6" s="1238"/>
      <c r="F6" s="1238"/>
      <c r="G6" s="1238"/>
      <c r="H6" s="1238"/>
      <c r="I6" s="1238"/>
      <c r="J6" s="1239"/>
      <c r="K6" s="1237" t="s">
        <v>439</v>
      </c>
      <c r="L6" s="1238"/>
      <c r="M6" s="1238"/>
      <c r="N6" s="1238"/>
      <c r="O6" s="1238"/>
      <c r="P6" s="1238"/>
      <c r="Q6" s="1238"/>
      <c r="R6" s="1239"/>
      <c r="S6" s="1237" t="s">
        <v>29</v>
      </c>
      <c r="T6" s="1238"/>
      <c r="U6" s="1238"/>
      <c r="V6" s="1238"/>
      <c r="W6" s="1238"/>
      <c r="X6" s="1238"/>
      <c r="Y6" s="1238"/>
      <c r="Z6" s="1246"/>
      <c r="AA6" s="714"/>
    </row>
    <row r="7" spans="1:27" ht="12.75" customHeight="1">
      <c r="A7" s="1232"/>
      <c r="B7" s="1235"/>
      <c r="C7" s="1240"/>
      <c r="D7" s="1241"/>
      <c r="E7" s="1241"/>
      <c r="F7" s="1241"/>
      <c r="G7" s="1241"/>
      <c r="H7" s="1241"/>
      <c r="I7" s="1241"/>
      <c r="J7" s="1242"/>
      <c r="K7" s="1240"/>
      <c r="L7" s="1241"/>
      <c r="M7" s="1241"/>
      <c r="N7" s="1241"/>
      <c r="O7" s="1241"/>
      <c r="P7" s="1241"/>
      <c r="Q7" s="1241"/>
      <c r="R7" s="1242"/>
      <c r="S7" s="1240"/>
      <c r="T7" s="1241"/>
      <c r="U7" s="1241"/>
      <c r="V7" s="1241"/>
      <c r="W7" s="1241"/>
      <c r="X7" s="1241"/>
      <c r="Y7" s="1241"/>
      <c r="Z7" s="1247"/>
      <c r="AA7" s="716"/>
    </row>
    <row r="8" spans="1:27" ht="20.25" customHeight="1" thickBot="1">
      <c r="A8" s="1233"/>
      <c r="B8" s="1236"/>
      <c r="C8" s="1243"/>
      <c r="D8" s="1244"/>
      <c r="E8" s="1244"/>
      <c r="F8" s="1244"/>
      <c r="G8" s="1244"/>
      <c r="H8" s="1244"/>
      <c r="I8" s="1244"/>
      <c r="J8" s="1245"/>
      <c r="K8" s="1243"/>
      <c r="L8" s="1244"/>
      <c r="M8" s="1244"/>
      <c r="N8" s="1244"/>
      <c r="O8" s="1244"/>
      <c r="P8" s="1244"/>
      <c r="Q8" s="1244"/>
      <c r="R8" s="1245"/>
      <c r="S8" s="1243"/>
      <c r="T8" s="1244"/>
      <c r="U8" s="1244"/>
      <c r="V8" s="1244"/>
      <c r="W8" s="1244"/>
      <c r="X8" s="1244"/>
      <c r="Y8" s="1244"/>
      <c r="Z8" s="1248"/>
      <c r="AA8" s="716"/>
    </row>
    <row r="9" spans="1:27" ht="38.25" thickTop="1">
      <c r="A9" s="717"/>
      <c r="B9" s="715"/>
      <c r="C9" s="718" t="s">
        <v>71</v>
      </c>
      <c r="D9" s="718" t="s">
        <v>245</v>
      </c>
      <c r="E9" s="718" t="s">
        <v>248</v>
      </c>
      <c r="F9" s="718" t="s">
        <v>251</v>
      </c>
      <c r="G9" s="719" t="s">
        <v>267</v>
      </c>
      <c r="H9" s="719" t="s">
        <v>271</v>
      </c>
      <c r="I9" s="719" t="s">
        <v>254</v>
      </c>
      <c r="J9" s="719" t="s">
        <v>255</v>
      </c>
      <c r="K9" s="718" t="s">
        <v>71</v>
      </c>
      <c r="L9" s="718" t="s">
        <v>245</v>
      </c>
      <c r="M9" s="718" t="s">
        <v>248</v>
      </c>
      <c r="N9" s="718" t="s">
        <v>251</v>
      </c>
      <c r="O9" s="719" t="s">
        <v>267</v>
      </c>
      <c r="P9" s="719" t="s">
        <v>271</v>
      </c>
      <c r="Q9" s="719" t="s">
        <v>254</v>
      </c>
      <c r="R9" s="719" t="s">
        <v>255</v>
      </c>
      <c r="S9" s="718" t="s">
        <v>71</v>
      </c>
      <c r="T9" s="718" t="s">
        <v>245</v>
      </c>
      <c r="U9" s="718" t="s">
        <v>248</v>
      </c>
      <c r="V9" s="718" t="s">
        <v>251</v>
      </c>
      <c r="W9" s="719" t="s">
        <v>267</v>
      </c>
      <c r="X9" s="719" t="s">
        <v>271</v>
      </c>
      <c r="Y9" s="719" t="s">
        <v>254</v>
      </c>
      <c r="Z9" s="720" t="s">
        <v>255</v>
      </c>
      <c r="AA9" s="716"/>
    </row>
    <row r="10" spans="1:27" ht="27" customHeight="1">
      <c r="A10" s="721" t="s">
        <v>495</v>
      </c>
      <c r="B10" s="722" t="s">
        <v>220</v>
      </c>
      <c r="C10" s="723">
        <v>100</v>
      </c>
      <c r="D10" s="723">
        <v>100</v>
      </c>
      <c r="E10" s="723">
        <v>100</v>
      </c>
      <c r="F10" s="723">
        <v>100</v>
      </c>
      <c r="G10" s="723">
        <v>100</v>
      </c>
      <c r="H10" s="723">
        <v>100</v>
      </c>
      <c r="I10" s="724">
        <v>0</v>
      </c>
      <c r="J10" s="725">
        <f>I10/H10</f>
        <v>0</v>
      </c>
      <c r="K10" s="723">
        <v>0</v>
      </c>
      <c r="L10" s="723">
        <v>0</v>
      </c>
      <c r="M10" s="723">
        <v>0</v>
      </c>
      <c r="N10" s="723">
        <v>0</v>
      </c>
      <c r="O10" s="724"/>
      <c r="P10" s="724"/>
      <c r="Q10" s="724"/>
      <c r="R10" s="725"/>
      <c r="S10" s="723">
        <v>100</v>
      </c>
      <c r="T10" s="723">
        <v>100</v>
      </c>
      <c r="U10" s="723">
        <v>100</v>
      </c>
      <c r="V10" s="723">
        <v>100</v>
      </c>
      <c r="W10" s="723">
        <v>100</v>
      </c>
      <c r="X10" s="723">
        <v>100</v>
      </c>
      <c r="Y10" s="724">
        <v>0</v>
      </c>
      <c r="Z10" s="725">
        <f aca="true" t="shared" si="0" ref="Z10:Z15">W10/V10</f>
        <v>1</v>
      </c>
      <c r="AA10" s="716"/>
    </row>
    <row r="11" spans="1:27" ht="27.75" customHeight="1">
      <c r="A11" s="721" t="s">
        <v>496</v>
      </c>
      <c r="B11" s="722" t="s">
        <v>220</v>
      </c>
      <c r="C11" s="723">
        <v>500</v>
      </c>
      <c r="D11" s="723">
        <v>500</v>
      </c>
      <c r="E11" s="723">
        <v>500</v>
      </c>
      <c r="F11" s="723">
        <v>500</v>
      </c>
      <c r="G11" s="723">
        <v>500</v>
      </c>
      <c r="H11" s="723">
        <v>500</v>
      </c>
      <c r="I11" s="724">
        <v>460</v>
      </c>
      <c r="J11" s="725">
        <f aca="true" t="shared" si="1" ref="J11:J18">I11/H11</f>
        <v>0.92</v>
      </c>
      <c r="K11" s="723">
        <v>0</v>
      </c>
      <c r="L11" s="723">
        <v>0</v>
      </c>
      <c r="M11" s="723">
        <v>0</v>
      </c>
      <c r="N11" s="723">
        <v>0</v>
      </c>
      <c r="O11" s="723"/>
      <c r="P11" s="724"/>
      <c r="Q11" s="724"/>
      <c r="R11" s="725"/>
      <c r="S11" s="723">
        <v>500</v>
      </c>
      <c r="T11" s="723">
        <v>500</v>
      </c>
      <c r="U11" s="723">
        <v>500</v>
      </c>
      <c r="V11" s="723">
        <v>500</v>
      </c>
      <c r="W11" s="723">
        <v>500</v>
      </c>
      <c r="X11" s="723">
        <v>500</v>
      </c>
      <c r="Y11" s="724">
        <v>460</v>
      </c>
      <c r="Z11" s="725">
        <f t="shared" si="0"/>
        <v>1</v>
      </c>
      <c r="AA11" s="716"/>
    </row>
    <row r="12" spans="1:27" ht="27" customHeight="1" hidden="1">
      <c r="A12" s="721" t="s">
        <v>440</v>
      </c>
      <c r="B12" s="722" t="s">
        <v>220</v>
      </c>
      <c r="C12" s="723"/>
      <c r="D12" s="723"/>
      <c r="E12" s="723"/>
      <c r="F12" s="723"/>
      <c r="G12" s="723"/>
      <c r="H12" s="723"/>
      <c r="I12" s="724"/>
      <c r="J12" s="725" t="e">
        <f t="shared" si="1"/>
        <v>#DIV/0!</v>
      </c>
      <c r="K12" s="723"/>
      <c r="L12" s="723"/>
      <c r="M12" s="723"/>
      <c r="N12" s="723"/>
      <c r="O12" s="723"/>
      <c r="P12" s="723"/>
      <c r="Q12" s="723"/>
      <c r="R12" s="726"/>
      <c r="S12" s="723"/>
      <c r="T12" s="723"/>
      <c r="U12" s="723"/>
      <c r="V12" s="723"/>
      <c r="W12" s="723"/>
      <c r="X12" s="723"/>
      <c r="Y12" s="724"/>
      <c r="Z12" s="725" t="e">
        <f t="shared" si="0"/>
        <v>#DIV/0!</v>
      </c>
      <c r="AA12" s="716"/>
    </row>
    <row r="13" spans="1:27" ht="28.5" customHeight="1">
      <c r="A13" s="721" t="s">
        <v>497</v>
      </c>
      <c r="B13" s="722" t="s">
        <v>220</v>
      </c>
      <c r="C13" s="723">
        <f aca="true" t="shared" si="2" ref="C13:H13">500+665</f>
        <v>1165</v>
      </c>
      <c r="D13" s="723">
        <f t="shared" si="2"/>
        <v>1165</v>
      </c>
      <c r="E13" s="723">
        <f t="shared" si="2"/>
        <v>1165</v>
      </c>
      <c r="F13" s="723">
        <f t="shared" si="2"/>
        <v>1165</v>
      </c>
      <c r="G13" s="723">
        <f t="shared" si="2"/>
        <v>1165</v>
      </c>
      <c r="H13" s="723">
        <f t="shared" si="2"/>
        <v>1165</v>
      </c>
      <c r="I13" s="724">
        <v>657</v>
      </c>
      <c r="J13" s="725">
        <f t="shared" si="1"/>
        <v>0.5639484978540773</v>
      </c>
      <c r="K13" s="723">
        <v>0</v>
      </c>
      <c r="L13" s="723">
        <v>0</v>
      </c>
      <c r="M13" s="723">
        <v>0</v>
      </c>
      <c r="N13" s="723">
        <v>0</v>
      </c>
      <c r="O13" s="723"/>
      <c r="P13" s="723"/>
      <c r="Q13" s="723"/>
      <c r="R13" s="726"/>
      <c r="S13" s="723">
        <f aca="true" t="shared" si="3" ref="S13:X13">500+665</f>
        <v>1165</v>
      </c>
      <c r="T13" s="723">
        <f t="shared" si="3"/>
        <v>1165</v>
      </c>
      <c r="U13" s="723">
        <f t="shared" si="3"/>
        <v>1165</v>
      </c>
      <c r="V13" s="723">
        <f t="shared" si="3"/>
        <v>1165</v>
      </c>
      <c r="W13" s="723">
        <f t="shared" si="3"/>
        <v>1165</v>
      </c>
      <c r="X13" s="723">
        <f t="shared" si="3"/>
        <v>1165</v>
      </c>
      <c r="Y13" s="724">
        <v>657</v>
      </c>
      <c r="Z13" s="725">
        <f t="shared" si="0"/>
        <v>1</v>
      </c>
      <c r="AA13" s="716"/>
    </row>
    <row r="14" spans="1:27" ht="32.25" customHeight="1">
      <c r="A14" s="721" t="s">
        <v>498</v>
      </c>
      <c r="B14" s="722" t="s">
        <v>220</v>
      </c>
      <c r="C14" s="723">
        <v>500</v>
      </c>
      <c r="D14" s="723">
        <v>500</v>
      </c>
      <c r="E14" s="723">
        <v>500</v>
      </c>
      <c r="F14" s="723">
        <v>500</v>
      </c>
      <c r="G14" s="723">
        <v>500</v>
      </c>
      <c r="H14" s="723">
        <v>500</v>
      </c>
      <c r="I14" s="724">
        <v>0</v>
      </c>
      <c r="J14" s="725">
        <f t="shared" si="1"/>
        <v>0</v>
      </c>
      <c r="K14" s="723">
        <v>0</v>
      </c>
      <c r="L14" s="723">
        <v>0</v>
      </c>
      <c r="M14" s="723">
        <v>0</v>
      </c>
      <c r="N14" s="723">
        <v>0</v>
      </c>
      <c r="O14" s="723"/>
      <c r="P14" s="723"/>
      <c r="Q14" s="723"/>
      <c r="R14" s="726"/>
      <c r="S14" s="723">
        <v>500</v>
      </c>
      <c r="T14" s="723">
        <v>500</v>
      </c>
      <c r="U14" s="723">
        <v>500</v>
      </c>
      <c r="V14" s="723">
        <v>500</v>
      </c>
      <c r="W14" s="723">
        <v>500</v>
      </c>
      <c r="X14" s="723">
        <v>500</v>
      </c>
      <c r="Y14" s="724">
        <v>0</v>
      </c>
      <c r="Z14" s="725">
        <f t="shared" si="0"/>
        <v>1</v>
      </c>
      <c r="AA14" s="716"/>
    </row>
    <row r="15" spans="1:27" ht="33" customHeight="1">
      <c r="A15" s="721" t="s">
        <v>518</v>
      </c>
      <c r="B15" s="722" t="s">
        <v>220</v>
      </c>
      <c r="C15" s="728"/>
      <c r="D15" s="728"/>
      <c r="E15" s="728">
        <v>490</v>
      </c>
      <c r="F15" s="728">
        <v>490</v>
      </c>
      <c r="G15" s="728">
        <v>490</v>
      </c>
      <c r="H15" s="728">
        <v>490</v>
      </c>
      <c r="I15" s="1039">
        <v>455</v>
      </c>
      <c r="J15" s="725">
        <f t="shared" si="1"/>
        <v>0.9285714285714286</v>
      </c>
      <c r="K15" s="728"/>
      <c r="L15" s="728"/>
      <c r="M15" s="728">
        <v>0</v>
      </c>
      <c r="N15" s="728">
        <v>0</v>
      </c>
      <c r="O15" s="728"/>
      <c r="P15" s="728"/>
      <c r="Q15" s="728"/>
      <c r="R15" s="726"/>
      <c r="S15" s="728"/>
      <c r="T15" s="728"/>
      <c r="U15" s="728">
        <v>490</v>
      </c>
      <c r="V15" s="728">
        <v>490</v>
      </c>
      <c r="W15" s="728">
        <v>490</v>
      </c>
      <c r="X15" s="728">
        <v>490</v>
      </c>
      <c r="Y15" s="1039">
        <v>455</v>
      </c>
      <c r="Z15" s="725">
        <f t="shared" si="0"/>
        <v>1</v>
      </c>
      <c r="AA15" s="716"/>
    </row>
    <row r="16" spans="1:27" ht="33" customHeight="1">
      <c r="A16" s="721" t="s">
        <v>292</v>
      </c>
      <c r="B16" s="722" t="s">
        <v>221</v>
      </c>
      <c r="C16" s="728"/>
      <c r="D16" s="728"/>
      <c r="E16" s="728"/>
      <c r="F16" s="728">
        <v>280</v>
      </c>
      <c r="G16" s="728">
        <f>280-37</f>
        <v>243</v>
      </c>
      <c r="H16" s="728">
        <f>280-37</f>
        <v>243</v>
      </c>
      <c r="I16" s="728">
        <v>243</v>
      </c>
      <c r="J16" s="725">
        <f t="shared" si="1"/>
        <v>1</v>
      </c>
      <c r="K16" s="728"/>
      <c r="L16" s="728"/>
      <c r="M16" s="728"/>
      <c r="N16" s="728">
        <v>280</v>
      </c>
      <c r="O16" s="728">
        <v>243</v>
      </c>
      <c r="P16" s="728">
        <v>243</v>
      </c>
      <c r="Q16" s="728">
        <v>243</v>
      </c>
      <c r="R16" s="726">
        <f>O16/N16</f>
        <v>0.8678571428571429</v>
      </c>
      <c r="S16" s="728"/>
      <c r="T16" s="728"/>
      <c r="U16" s="728"/>
      <c r="V16" s="728"/>
      <c r="W16" s="728"/>
      <c r="X16" s="728"/>
      <c r="Y16" s="728"/>
      <c r="Z16" s="728"/>
      <c r="AA16" s="716"/>
    </row>
    <row r="17" spans="1:27" ht="33" customHeight="1" thickBot="1">
      <c r="A17" s="984" t="s">
        <v>538</v>
      </c>
      <c r="B17" s="985" t="s">
        <v>221</v>
      </c>
      <c r="C17" s="986"/>
      <c r="D17" s="986"/>
      <c r="E17" s="986"/>
      <c r="F17" s="986"/>
      <c r="G17" s="986">
        <v>325</v>
      </c>
      <c r="H17" s="986">
        <f>325+301</f>
        <v>626</v>
      </c>
      <c r="I17" s="986">
        <v>626</v>
      </c>
      <c r="J17" s="725">
        <f t="shared" si="1"/>
        <v>1</v>
      </c>
      <c r="K17" s="986"/>
      <c r="L17" s="986"/>
      <c r="M17" s="986"/>
      <c r="N17" s="988"/>
      <c r="O17" s="986">
        <v>325</v>
      </c>
      <c r="P17" s="986">
        <v>626</v>
      </c>
      <c r="Q17" s="986">
        <v>626</v>
      </c>
      <c r="R17" s="987"/>
      <c r="S17" s="986"/>
      <c r="T17" s="986"/>
      <c r="U17" s="986"/>
      <c r="V17" s="986"/>
      <c r="W17" s="986"/>
      <c r="X17" s="986"/>
      <c r="Y17" s="986"/>
      <c r="Z17" s="986"/>
      <c r="AA17" s="716"/>
    </row>
    <row r="18" spans="1:27" ht="33" customHeight="1" thickBot="1" thickTop="1">
      <c r="A18" s="984" t="s">
        <v>548</v>
      </c>
      <c r="B18" s="985" t="s">
        <v>221</v>
      </c>
      <c r="C18" s="986"/>
      <c r="D18" s="986"/>
      <c r="E18" s="986"/>
      <c r="F18" s="986"/>
      <c r="G18" s="986"/>
      <c r="H18" s="986">
        <v>978</v>
      </c>
      <c r="I18" s="986">
        <v>0</v>
      </c>
      <c r="J18" s="725">
        <f t="shared" si="1"/>
        <v>0</v>
      </c>
      <c r="K18" s="986"/>
      <c r="L18" s="986"/>
      <c r="M18" s="986"/>
      <c r="N18" s="988"/>
      <c r="O18" s="986"/>
      <c r="P18" s="986">
        <v>978</v>
      </c>
      <c r="Q18" s="986"/>
      <c r="R18" s="987"/>
      <c r="S18" s="986"/>
      <c r="T18" s="986"/>
      <c r="U18" s="986"/>
      <c r="V18" s="986"/>
      <c r="W18" s="986"/>
      <c r="X18" s="986"/>
      <c r="Y18" s="986"/>
      <c r="Z18" s="986"/>
      <c r="AA18" s="716"/>
    </row>
    <row r="19" spans="1:27" ht="39" customHeight="1" thickBot="1" thickTop="1">
      <c r="A19" s="729" t="s">
        <v>22</v>
      </c>
      <c r="B19" s="730"/>
      <c r="C19" s="731">
        <f>SUM(C10:C15)</f>
        <v>2265</v>
      </c>
      <c r="D19" s="731">
        <f>SUM(D10:D15)</f>
        <v>2265</v>
      </c>
      <c r="E19" s="731">
        <f>SUM(E10:E15)</f>
        <v>2755</v>
      </c>
      <c r="F19" s="731">
        <f>SUM(F10:F16)</f>
        <v>3035</v>
      </c>
      <c r="G19" s="731">
        <f>SUM(G10:G17)</f>
        <v>3323</v>
      </c>
      <c r="H19" s="731">
        <f>SUM(H10:H18)</f>
        <v>4602</v>
      </c>
      <c r="I19" s="731">
        <f>SUM(I10:I18)</f>
        <v>2441</v>
      </c>
      <c r="J19" s="732">
        <f>I19/H19</f>
        <v>0.5304215558452846</v>
      </c>
      <c r="K19" s="731">
        <f>SUM(K10:K15)</f>
        <v>0</v>
      </c>
      <c r="L19" s="731">
        <f>SUM(L10:L15)</f>
        <v>0</v>
      </c>
      <c r="M19" s="731">
        <f>SUM(M10:M15)</f>
        <v>0</v>
      </c>
      <c r="N19" s="731">
        <f>SUM(N10:N17)</f>
        <v>280</v>
      </c>
      <c r="O19" s="731">
        <f>SUM(O10:O17)</f>
        <v>568</v>
      </c>
      <c r="P19" s="731">
        <f>SUM(P10:P18)</f>
        <v>1847</v>
      </c>
      <c r="Q19" s="731">
        <f>SUM(Q10:Q18)</f>
        <v>869</v>
      </c>
      <c r="R19" s="732">
        <f>O19/N19</f>
        <v>2.0285714285714285</v>
      </c>
      <c r="S19" s="731">
        <f aca="true" t="shared" si="4" ref="S19:Y19">SUM(S10:S15)</f>
        <v>2265</v>
      </c>
      <c r="T19" s="731">
        <f t="shared" si="4"/>
        <v>2265</v>
      </c>
      <c r="U19" s="731">
        <f t="shared" si="4"/>
        <v>2755</v>
      </c>
      <c r="V19" s="731">
        <f t="shared" si="4"/>
        <v>2755</v>
      </c>
      <c r="W19" s="731">
        <f t="shared" si="4"/>
        <v>2755</v>
      </c>
      <c r="X19" s="731">
        <f t="shared" si="4"/>
        <v>2755</v>
      </c>
      <c r="Y19" s="731">
        <f t="shared" si="4"/>
        <v>1572</v>
      </c>
      <c r="Z19" s="732">
        <f>W19/T19</f>
        <v>1.216335540838852</v>
      </c>
      <c r="AA19" s="716"/>
    </row>
    <row r="20" spans="1:27" ht="19.5" customHeight="1">
      <c r="A20" s="733"/>
      <c r="B20" s="733"/>
      <c r="C20" s="734"/>
      <c r="D20" s="734"/>
      <c r="E20" s="734"/>
      <c r="F20" s="734"/>
      <c r="G20" s="734"/>
      <c r="H20" s="734"/>
      <c r="I20" s="734"/>
      <c r="J20" s="734"/>
      <c r="K20" s="734"/>
      <c r="L20" s="734"/>
      <c r="M20" s="734"/>
      <c r="N20" s="734"/>
      <c r="O20" s="734"/>
      <c r="P20" s="734"/>
      <c r="Q20" s="734"/>
      <c r="R20" s="734"/>
      <c r="S20" s="734"/>
      <c r="AA20" s="735"/>
    </row>
    <row r="21" spans="1:19" ht="66" customHeight="1" thickBot="1">
      <c r="A21" s="1230" t="s">
        <v>441</v>
      </c>
      <c r="B21" s="1230"/>
      <c r="C21" s="1230"/>
      <c r="D21" s="1230"/>
      <c r="E21" s="1230"/>
      <c r="F21" s="1230"/>
      <c r="G21" s="1230"/>
      <c r="H21" s="1230"/>
      <c r="I21" s="1230"/>
      <c r="J21" s="1230"/>
      <c r="K21" s="1230"/>
      <c r="L21" s="1230"/>
      <c r="M21" s="1230"/>
      <c r="N21" s="1230"/>
      <c r="O21" s="1230"/>
      <c r="P21" s="1230"/>
      <c r="Q21" s="1230"/>
      <c r="R21" s="1230"/>
      <c r="S21" s="1230"/>
    </row>
    <row r="22" spans="1:27" ht="19.5" customHeight="1">
      <c r="A22" s="1231" t="s">
        <v>437</v>
      </c>
      <c r="B22" s="1234" t="s">
        <v>438</v>
      </c>
      <c r="C22" s="1237" t="s">
        <v>5</v>
      </c>
      <c r="D22" s="1238"/>
      <c r="E22" s="1238"/>
      <c r="F22" s="1238"/>
      <c r="G22" s="1238"/>
      <c r="H22" s="1238"/>
      <c r="I22" s="1238"/>
      <c r="J22" s="1239"/>
      <c r="K22" s="1237" t="s">
        <v>439</v>
      </c>
      <c r="L22" s="1238"/>
      <c r="M22" s="1238"/>
      <c r="N22" s="1238"/>
      <c r="O22" s="1238"/>
      <c r="P22" s="1238"/>
      <c r="Q22" s="1238"/>
      <c r="R22" s="1239"/>
      <c r="S22" s="1237" t="s">
        <v>29</v>
      </c>
      <c r="T22" s="1238"/>
      <c r="U22" s="1238"/>
      <c r="V22" s="1238"/>
      <c r="W22" s="1238"/>
      <c r="X22" s="1238"/>
      <c r="Y22" s="1238"/>
      <c r="Z22" s="1246"/>
      <c r="AA22" s="716"/>
    </row>
    <row r="23" spans="1:27" s="737" customFormat="1" ht="19.5" customHeight="1">
      <c r="A23" s="1232"/>
      <c r="B23" s="1235"/>
      <c r="C23" s="1240"/>
      <c r="D23" s="1241"/>
      <c r="E23" s="1241"/>
      <c r="F23" s="1241"/>
      <c r="G23" s="1241"/>
      <c r="H23" s="1241"/>
      <c r="I23" s="1241"/>
      <c r="J23" s="1242"/>
      <c r="K23" s="1240"/>
      <c r="L23" s="1241"/>
      <c r="M23" s="1241"/>
      <c r="N23" s="1241"/>
      <c r="O23" s="1241"/>
      <c r="P23" s="1241"/>
      <c r="Q23" s="1241"/>
      <c r="R23" s="1242"/>
      <c r="S23" s="1240"/>
      <c r="T23" s="1241"/>
      <c r="U23" s="1241"/>
      <c r="V23" s="1241"/>
      <c r="W23" s="1241"/>
      <c r="X23" s="1241"/>
      <c r="Y23" s="1241"/>
      <c r="Z23" s="1247"/>
      <c r="AA23" s="736"/>
    </row>
    <row r="24" spans="1:27" s="737" customFormat="1" ht="19.5" customHeight="1" thickBot="1">
      <c r="A24" s="1233"/>
      <c r="B24" s="1236"/>
      <c r="C24" s="1243"/>
      <c r="D24" s="1244"/>
      <c r="E24" s="1244"/>
      <c r="F24" s="1244"/>
      <c r="G24" s="1244"/>
      <c r="H24" s="1244"/>
      <c r="I24" s="1244"/>
      <c r="J24" s="1245"/>
      <c r="K24" s="1243"/>
      <c r="L24" s="1244"/>
      <c r="M24" s="1244"/>
      <c r="N24" s="1244"/>
      <c r="O24" s="1244"/>
      <c r="P24" s="1244"/>
      <c r="Q24" s="1244"/>
      <c r="R24" s="1245"/>
      <c r="S24" s="1243"/>
      <c r="T24" s="1244"/>
      <c r="U24" s="1244"/>
      <c r="V24" s="1244"/>
      <c r="W24" s="1244"/>
      <c r="X24" s="1244"/>
      <c r="Y24" s="1244"/>
      <c r="Z24" s="1248"/>
      <c r="AA24" s="736"/>
    </row>
    <row r="25" spans="1:27" s="737" customFormat="1" ht="57.75" customHeight="1" thickTop="1">
      <c r="A25" s="738"/>
      <c r="B25" s="739"/>
      <c r="C25" s="719" t="s">
        <v>71</v>
      </c>
      <c r="D25" s="719" t="s">
        <v>245</v>
      </c>
      <c r="E25" s="719" t="s">
        <v>248</v>
      </c>
      <c r="F25" s="718" t="s">
        <v>251</v>
      </c>
      <c r="G25" s="719" t="s">
        <v>267</v>
      </c>
      <c r="H25" s="719" t="s">
        <v>271</v>
      </c>
      <c r="I25" s="719" t="s">
        <v>254</v>
      </c>
      <c r="J25" s="719" t="s">
        <v>255</v>
      </c>
      <c r="K25" s="719" t="s">
        <v>71</v>
      </c>
      <c r="L25" s="719" t="s">
        <v>245</v>
      </c>
      <c r="M25" s="719" t="s">
        <v>248</v>
      </c>
      <c r="N25" s="718" t="s">
        <v>251</v>
      </c>
      <c r="O25" s="719" t="s">
        <v>267</v>
      </c>
      <c r="P25" s="719" t="s">
        <v>271</v>
      </c>
      <c r="Q25" s="719" t="s">
        <v>254</v>
      </c>
      <c r="R25" s="719" t="s">
        <v>255</v>
      </c>
      <c r="S25" s="719" t="s">
        <v>71</v>
      </c>
      <c r="T25" s="719" t="s">
        <v>245</v>
      </c>
      <c r="U25" s="719" t="s">
        <v>248</v>
      </c>
      <c r="V25" s="718" t="s">
        <v>251</v>
      </c>
      <c r="W25" s="719" t="s">
        <v>267</v>
      </c>
      <c r="X25" s="719" t="s">
        <v>271</v>
      </c>
      <c r="Y25" s="719" t="s">
        <v>254</v>
      </c>
      <c r="Z25" s="720" t="s">
        <v>255</v>
      </c>
      <c r="AA25" s="736"/>
    </row>
    <row r="26" spans="1:27" s="737" customFormat="1" ht="34.5" customHeight="1">
      <c r="A26" s="740" t="s">
        <v>442</v>
      </c>
      <c r="B26" s="741" t="s">
        <v>221</v>
      </c>
      <c r="C26" s="743">
        <v>547</v>
      </c>
      <c r="D26" s="743">
        <v>547</v>
      </c>
      <c r="E26" s="743">
        <v>547</v>
      </c>
      <c r="F26" s="743">
        <v>547</v>
      </c>
      <c r="G26" s="743">
        <f>547-16</f>
        <v>531</v>
      </c>
      <c r="H26" s="743">
        <f>547-16+87-521</f>
        <v>97</v>
      </c>
      <c r="I26" s="742">
        <v>97</v>
      </c>
      <c r="J26" s="725">
        <f>G26/F26</f>
        <v>0.9707495429616088</v>
      </c>
      <c r="K26" s="743">
        <v>492</v>
      </c>
      <c r="L26" s="743">
        <v>492</v>
      </c>
      <c r="M26" s="743">
        <v>492</v>
      </c>
      <c r="N26" s="743">
        <v>492</v>
      </c>
      <c r="O26" s="743">
        <v>478</v>
      </c>
      <c r="P26" s="742">
        <v>87</v>
      </c>
      <c r="Q26" s="742">
        <v>87</v>
      </c>
      <c r="R26" s="725">
        <f>O26/N26</f>
        <v>0.9715447154471545</v>
      </c>
      <c r="S26" s="743">
        <f aca="true" t="shared" si="5" ref="S26:Y26">C26-K26</f>
        <v>55</v>
      </c>
      <c r="T26" s="743">
        <f t="shared" si="5"/>
        <v>55</v>
      </c>
      <c r="U26" s="743">
        <f t="shared" si="5"/>
        <v>55</v>
      </c>
      <c r="V26" s="743">
        <f t="shared" si="5"/>
        <v>55</v>
      </c>
      <c r="W26" s="742">
        <f t="shared" si="5"/>
        <v>53</v>
      </c>
      <c r="X26" s="742">
        <f t="shared" si="5"/>
        <v>10</v>
      </c>
      <c r="Y26" s="742">
        <f t="shared" si="5"/>
        <v>10</v>
      </c>
      <c r="Z26" s="725">
        <f>W26/T26</f>
        <v>0.9636363636363636</v>
      </c>
      <c r="AA26" s="736"/>
    </row>
    <row r="27" spans="1:27" s="737" customFormat="1" ht="30" hidden="1">
      <c r="A27" s="744" t="s">
        <v>443</v>
      </c>
      <c r="B27" s="745" t="s">
        <v>221</v>
      </c>
      <c r="C27" s="743"/>
      <c r="D27" s="743"/>
      <c r="E27" s="743"/>
      <c r="F27" s="743"/>
      <c r="G27" s="743"/>
      <c r="H27" s="743"/>
      <c r="I27" s="742"/>
      <c r="J27" s="725" t="e">
        <f>G27/F27</f>
        <v>#DIV/0!</v>
      </c>
      <c r="K27" s="743"/>
      <c r="L27" s="743"/>
      <c r="M27" s="743"/>
      <c r="N27" s="743"/>
      <c r="O27" s="743"/>
      <c r="P27" s="742"/>
      <c r="Q27" s="742"/>
      <c r="R27" s="725" t="e">
        <f>O27/N27</f>
        <v>#DIV/0!</v>
      </c>
      <c r="S27" s="742">
        <f aca="true" t="shared" si="6" ref="S27:V29">C27-K27</f>
        <v>0</v>
      </c>
      <c r="T27" s="742">
        <f t="shared" si="6"/>
        <v>0</v>
      </c>
      <c r="U27" s="742">
        <f t="shared" si="6"/>
        <v>0</v>
      </c>
      <c r="V27" s="742">
        <f t="shared" si="6"/>
        <v>0</v>
      </c>
      <c r="W27" s="743">
        <v>0</v>
      </c>
      <c r="X27" s="743"/>
      <c r="Y27" s="743"/>
      <c r="Z27" s="725" t="e">
        <f>W27/T27</f>
        <v>#DIV/0!</v>
      </c>
      <c r="AA27" s="736"/>
    </row>
    <row r="28" spans="1:27" s="737" customFormat="1" ht="30.75" customHeight="1">
      <c r="A28" s="744" t="s">
        <v>444</v>
      </c>
      <c r="B28" s="745" t="s">
        <v>221</v>
      </c>
      <c r="C28" s="743">
        <v>426</v>
      </c>
      <c r="D28" s="743">
        <v>426</v>
      </c>
      <c r="E28" s="743">
        <v>426</v>
      </c>
      <c r="F28" s="743">
        <v>426</v>
      </c>
      <c r="G28" s="743">
        <f>426+146+16</f>
        <v>588</v>
      </c>
      <c r="H28" s="743">
        <f>426+146+16-19+19</f>
        <v>588</v>
      </c>
      <c r="I28" s="742">
        <v>588</v>
      </c>
      <c r="J28" s="725">
        <f>G28/F28</f>
        <v>1.380281690140845</v>
      </c>
      <c r="K28" s="743">
        <v>341</v>
      </c>
      <c r="L28" s="743">
        <v>341</v>
      </c>
      <c r="M28" s="743">
        <v>341</v>
      </c>
      <c r="N28" s="743">
        <v>341</v>
      </c>
      <c r="O28" s="743">
        <v>470</v>
      </c>
      <c r="P28" s="742">
        <f>322+148</f>
        <v>470</v>
      </c>
      <c r="Q28" s="742">
        <v>470</v>
      </c>
      <c r="R28" s="725">
        <f>O28/N28</f>
        <v>1.3782991202346042</v>
      </c>
      <c r="S28" s="742">
        <f t="shared" si="6"/>
        <v>85</v>
      </c>
      <c r="T28" s="742">
        <f t="shared" si="6"/>
        <v>85</v>
      </c>
      <c r="U28" s="742">
        <f t="shared" si="6"/>
        <v>85</v>
      </c>
      <c r="V28" s="742">
        <f t="shared" si="6"/>
        <v>85</v>
      </c>
      <c r="W28" s="743">
        <f aca="true" t="shared" si="7" ref="W28:Y29">G28-O28</f>
        <v>118</v>
      </c>
      <c r="X28" s="743">
        <f t="shared" si="7"/>
        <v>118</v>
      </c>
      <c r="Y28" s="743">
        <f t="shared" si="7"/>
        <v>118</v>
      </c>
      <c r="Z28" s="725">
        <f>W28/T28</f>
        <v>1.388235294117647</v>
      </c>
      <c r="AA28" s="736"/>
    </row>
    <row r="29" spans="1:27" s="737" customFormat="1" ht="31.5" customHeight="1" thickBot="1">
      <c r="A29" s="744" t="s">
        <v>445</v>
      </c>
      <c r="B29" s="745" t="s">
        <v>221</v>
      </c>
      <c r="C29" s="743">
        <v>2842</v>
      </c>
      <c r="D29" s="743">
        <v>2842</v>
      </c>
      <c r="E29" s="743">
        <v>2842</v>
      </c>
      <c r="F29" s="743">
        <v>2842</v>
      </c>
      <c r="G29" s="743">
        <f>2842+1257</f>
        <v>4099</v>
      </c>
      <c r="H29" s="743">
        <f>2842+1257-1010-764</f>
        <v>2325</v>
      </c>
      <c r="I29" s="742">
        <v>2324</v>
      </c>
      <c r="J29" s="725">
        <f>G29/F29</f>
        <v>1.4422941590429275</v>
      </c>
      <c r="K29" s="743">
        <v>2557</v>
      </c>
      <c r="L29" s="743">
        <v>2557</v>
      </c>
      <c r="M29" s="743">
        <v>2557</v>
      </c>
      <c r="N29" s="743">
        <v>2557</v>
      </c>
      <c r="O29" s="743">
        <v>3689</v>
      </c>
      <c r="P29" s="742">
        <f>1546+302+116+166+94+1</f>
        <v>2225</v>
      </c>
      <c r="Q29" s="742">
        <v>2225</v>
      </c>
      <c r="R29" s="725">
        <f>O29/N29</f>
        <v>1.442706296441142</v>
      </c>
      <c r="S29" s="742">
        <f t="shared" si="6"/>
        <v>285</v>
      </c>
      <c r="T29" s="742">
        <f t="shared" si="6"/>
        <v>285</v>
      </c>
      <c r="U29" s="742">
        <f t="shared" si="6"/>
        <v>285</v>
      </c>
      <c r="V29" s="742">
        <f t="shared" si="6"/>
        <v>285</v>
      </c>
      <c r="W29" s="743">
        <f t="shared" si="7"/>
        <v>410</v>
      </c>
      <c r="X29" s="743">
        <f t="shared" si="7"/>
        <v>100</v>
      </c>
      <c r="Y29" s="743">
        <f t="shared" si="7"/>
        <v>99</v>
      </c>
      <c r="Z29" s="725">
        <f>W29/T29</f>
        <v>1.4385964912280702</v>
      </c>
      <c r="AA29" s="736"/>
    </row>
    <row r="30" spans="1:27" s="737" customFormat="1" ht="31.5" customHeight="1" hidden="1" thickTop="1">
      <c r="A30" s="744" t="s">
        <v>446</v>
      </c>
      <c r="B30" s="745" t="s">
        <v>221</v>
      </c>
      <c r="C30" s="728"/>
      <c r="D30" s="728"/>
      <c r="E30" s="728"/>
      <c r="F30" s="728"/>
      <c r="G30" s="728"/>
      <c r="H30" s="728"/>
      <c r="I30" s="977"/>
      <c r="J30" s="727" t="e">
        <f>G30/E30</f>
        <v>#DIV/0!</v>
      </c>
      <c r="K30" s="728"/>
      <c r="L30" s="728"/>
      <c r="M30" s="728"/>
      <c r="N30" s="728"/>
      <c r="O30" s="728"/>
      <c r="P30" s="977"/>
      <c r="Q30" s="977"/>
      <c r="R30" s="727" t="e">
        <f>O30/M30</f>
        <v>#DIV/0!</v>
      </c>
      <c r="S30" s="728"/>
      <c r="T30" s="728"/>
      <c r="U30" s="728"/>
      <c r="V30" s="728"/>
      <c r="W30" s="728">
        <f>G30-O30</f>
        <v>0</v>
      </c>
      <c r="X30" s="977"/>
      <c r="Y30" s="977"/>
      <c r="Z30" s="727" t="e">
        <f>W30/U30</f>
        <v>#DIV/0!</v>
      </c>
      <c r="AA30" s="736"/>
    </row>
    <row r="31" spans="1:27" s="737" customFormat="1" ht="27.75" customHeight="1" hidden="1">
      <c r="A31" s="744" t="s">
        <v>447</v>
      </c>
      <c r="B31" s="745" t="s">
        <v>221</v>
      </c>
      <c r="C31" s="728"/>
      <c r="D31" s="728"/>
      <c r="E31" s="728"/>
      <c r="F31" s="728"/>
      <c r="G31" s="728"/>
      <c r="H31" s="728"/>
      <c r="I31" s="977"/>
      <c r="J31" s="727">
        <v>0</v>
      </c>
      <c r="K31" s="728"/>
      <c r="L31" s="728"/>
      <c r="M31" s="728"/>
      <c r="N31" s="728"/>
      <c r="O31" s="728"/>
      <c r="P31" s="977"/>
      <c r="Q31" s="977"/>
      <c r="R31" s="727">
        <v>0</v>
      </c>
      <c r="S31" s="728"/>
      <c r="T31" s="728"/>
      <c r="U31" s="728"/>
      <c r="V31" s="728"/>
      <c r="W31" s="728">
        <f>G31-O31</f>
        <v>0</v>
      </c>
      <c r="X31" s="977"/>
      <c r="Y31" s="977"/>
      <c r="Z31" s="727">
        <v>0</v>
      </c>
      <c r="AA31" s="736"/>
    </row>
    <row r="32" spans="1:27" ht="33" customHeight="1" hidden="1" thickBot="1">
      <c r="A32" s="746" t="s">
        <v>448</v>
      </c>
      <c r="B32" s="747" t="s">
        <v>221</v>
      </c>
      <c r="C32" s="748"/>
      <c r="D32" s="748"/>
      <c r="E32" s="748"/>
      <c r="F32" s="748"/>
      <c r="G32" s="748"/>
      <c r="H32" s="748"/>
      <c r="I32" s="978"/>
      <c r="J32" s="727">
        <v>0</v>
      </c>
      <c r="K32" s="748"/>
      <c r="L32" s="748"/>
      <c r="M32" s="748"/>
      <c r="N32" s="748"/>
      <c r="O32" s="748"/>
      <c r="P32" s="978"/>
      <c r="Q32" s="978"/>
      <c r="R32" s="727">
        <v>0</v>
      </c>
      <c r="S32" s="748"/>
      <c r="T32" s="748"/>
      <c r="U32" s="748"/>
      <c r="V32" s="748"/>
      <c r="W32" s="748">
        <f>G32-O32</f>
        <v>0</v>
      </c>
      <c r="X32" s="978"/>
      <c r="Y32" s="978"/>
      <c r="Z32" s="727">
        <v>0</v>
      </c>
      <c r="AA32" s="716"/>
    </row>
    <row r="33" spans="1:27" ht="33" customHeight="1" hidden="1" thickBot="1" thickTop="1">
      <c r="A33" s="749"/>
      <c r="B33" s="750"/>
      <c r="C33" s="751"/>
      <c r="D33" s="751"/>
      <c r="E33" s="751"/>
      <c r="F33" s="751"/>
      <c r="G33" s="751"/>
      <c r="H33" s="751"/>
      <c r="I33" s="979"/>
      <c r="J33" s="727">
        <v>0</v>
      </c>
      <c r="K33" s="751"/>
      <c r="L33" s="751"/>
      <c r="M33" s="751"/>
      <c r="N33" s="751"/>
      <c r="O33" s="751"/>
      <c r="P33" s="979"/>
      <c r="Q33" s="979"/>
      <c r="R33" s="727">
        <v>0</v>
      </c>
      <c r="S33" s="751"/>
      <c r="T33" s="751"/>
      <c r="U33" s="751"/>
      <c r="V33" s="751"/>
      <c r="W33" s="751">
        <f>G33-O33</f>
        <v>0</v>
      </c>
      <c r="X33" s="979"/>
      <c r="Y33" s="979"/>
      <c r="Z33" s="727">
        <v>0</v>
      </c>
      <c r="AA33" s="716"/>
    </row>
    <row r="34" spans="1:27" ht="33" customHeight="1" thickBot="1" thickTop="1">
      <c r="A34" s="729" t="s">
        <v>22</v>
      </c>
      <c r="B34" s="730"/>
      <c r="C34" s="731">
        <f aca="true" t="shared" si="8" ref="C34:I34">SUM(C26:C32)</f>
        <v>3815</v>
      </c>
      <c r="D34" s="731">
        <f t="shared" si="8"/>
        <v>3815</v>
      </c>
      <c r="E34" s="731">
        <f t="shared" si="8"/>
        <v>3815</v>
      </c>
      <c r="F34" s="731">
        <f t="shared" si="8"/>
        <v>3815</v>
      </c>
      <c r="G34" s="731">
        <f t="shared" si="8"/>
        <v>5218</v>
      </c>
      <c r="H34" s="731">
        <f t="shared" si="8"/>
        <v>3010</v>
      </c>
      <c r="I34" s="731">
        <f t="shared" si="8"/>
        <v>3009</v>
      </c>
      <c r="J34" s="732">
        <f>G34/D34</f>
        <v>1.3677588466579291</v>
      </c>
      <c r="K34" s="731">
        <f aca="true" t="shared" si="9" ref="K34:Q34">SUM(K26:K32)</f>
        <v>3390</v>
      </c>
      <c r="L34" s="731">
        <f t="shared" si="9"/>
        <v>3390</v>
      </c>
      <c r="M34" s="731">
        <f t="shared" si="9"/>
        <v>3390</v>
      </c>
      <c r="N34" s="731">
        <f t="shared" si="9"/>
        <v>3390</v>
      </c>
      <c r="O34" s="731">
        <f t="shared" si="9"/>
        <v>4637</v>
      </c>
      <c r="P34" s="731">
        <f t="shared" si="9"/>
        <v>2782</v>
      </c>
      <c r="Q34" s="731">
        <f t="shared" si="9"/>
        <v>2782</v>
      </c>
      <c r="R34" s="732">
        <f>O34/L34</f>
        <v>1.3678466076696165</v>
      </c>
      <c r="S34" s="731">
        <f aca="true" t="shared" si="10" ref="S34:X34">SUM(S26:S32)</f>
        <v>425</v>
      </c>
      <c r="T34" s="731">
        <f t="shared" si="10"/>
        <v>425</v>
      </c>
      <c r="U34" s="731">
        <f t="shared" si="10"/>
        <v>425</v>
      </c>
      <c r="V34" s="731">
        <f t="shared" si="10"/>
        <v>425</v>
      </c>
      <c r="W34" s="731">
        <f t="shared" si="10"/>
        <v>581</v>
      </c>
      <c r="X34" s="731">
        <f t="shared" si="10"/>
        <v>228</v>
      </c>
      <c r="Y34" s="731">
        <f>SUM(Y26:Y32)</f>
        <v>227</v>
      </c>
      <c r="Z34" s="732">
        <f>W34/T34</f>
        <v>1.3670588235294117</v>
      </c>
      <c r="AA34" s="716"/>
    </row>
    <row r="37" ht="12.75">
      <c r="L37" s="752"/>
    </row>
    <row r="38" ht="12.75">
      <c r="L38" s="752"/>
    </row>
    <row r="39" ht="12.75">
      <c r="L39" s="752"/>
    </row>
    <row r="40" ht="12.75">
      <c r="L40" s="752"/>
    </row>
  </sheetData>
  <sheetProtection/>
  <mergeCells count="15">
    <mergeCell ref="K1:S1"/>
    <mergeCell ref="A2:S2"/>
    <mergeCell ref="A3:S3"/>
    <mergeCell ref="A4:S4"/>
    <mergeCell ref="A6:A8"/>
    <mergeCell ref="B6:B8"/>
    <mergeCell ref="C6:J8"/>
    <mergeCell ref="K6:R8"/>
    <mergeCell ref="S6:Z8"/>
    <mergeCell ref="A21:S21"/>
    <mergeCell ref="A22:A24"/>
    <mergeCell ref="B22:B24"/>
    <mergeCell ref="C22:J24"/>
    <mergeCell ref="K22:R24"/>
    <mergeCell ref="S22:Z2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56" r:id="rId1"/>
  <headerFooter alignWithMargins="0">
    <oddFooter>&amp;R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5"/>
  <sheetViews>
    <sheetView zoomScale="70" zoomScaleNormal="70" zoomScalePageLayoutView="0" workbookViewId="0" topLeftCell="A59">
      <selection activeCell="Q82" sqref="Q82"/>
    </sheetView>
  </sheetViews>
  <sheetFormatPr defaultColWidth="9.140625" defaultRowHeight="12.75"/>
  <cols>
    <col min="1" max="1" width="53.00390625" style="330" customWidth="1"/>
    <col min="2" max="2" width="11.421875" style="16" bestFit="1" customWidth="1"/>
    <col min="3" max="3" width="11.57421875" style="16" hidden="1" customWidth="1"/>
    <col min="4" max="4" width="13.421875" style="16" hidden="1" customWidth="1"/>
    <col min="5" max="6" width="11.7109375" style="16" hidden="1" customWidth="1"/>
    <col min="7" max="8" width="11.7109375" style="16" customWidth="1"/>
    <col min="9" max="9" width="16.00390625" style="16" customWidth="1"/>
    <col min="10" max="10" width="13.421875" style="16" customWidth="1"/>
    <col min="11" max="12" width="9.8515625" style="16" hidden="1" customWidth="1"/>
    <col min="13" max="14" width="11.7109375" style="16" hidden="1" customWidth="1"/>
    <col min="15" max="16" width="11.7109375" style="16" customWidth="1"/>
    <col min="17" max="17" width="13.421875" style="16" customWidth="1"/>
    <col min="18" max="18" width="16.7109375" style="16" customWidth="1"/>
    <col min="19" max="19" width="8.421875" style="16" hidden="1" customWidth="1"/>
    <col min="20" max="20" width="9.28125" style="16" hidden="1" customWidth="1"/>
    <col min="21" max="21" width="11.7109375" style="16" hidden="1" customWidth="1"/>
    <col min="22" max="22" width="8.57421875" style="16" customWidth="1"/>
    <col min="23" max="23" width="12.00390625" style="16" customWidth="1"/>
    <col min="24" max="24" width="9.57421875" style="16" bestFit="1" customWidth="1"/>
    <col min="25" max="25" width="8.421875" style="16" hidden="1" customWidth="1"/>
    <col min="26" max="27" width="12.140625" style="16" hidden="1" customWidth="1"/>
    <col min="28" max="28" width="11.7109375" style="16" hidden="1" customWidth="1"/>
    <col min="29" max="30" width="11.7109375" style="16" customWidth="1"/>
    <col min="31" max="31" width="16.28125" style="16" customWidth="1"/>
    <col min="32" max="32" width="9.140625" style="16" customWidth="1"/>
    <col min="33" max="16384" width="9.140625" style="16" customWidth="1"/>
  </cols>
  <sheetData>
    <row r="1" spans="18:24" ht="12.75" customHeight="1">
      <c r="R1" s="1268" t="s">
        <v>393</v>
      </c>
      <c r="S1" s="1268"/>
      <c r="T1" s="1268"/>
      <c r="U1" s="1268"/>
      <c r="V1" s="1268"/>
      <c r="W1" s="1268"/>
      <c r="X1" s="1268"/>
    </row>
    <row r="2" spans="1:24" ht="19.5">
      <c r="A2" s="1269" t="s">
        <v>23</v>
      </c>
      <c r="B2" s="1269"/>
      <c r="C2" s="1269"/>
      <c r="D2" s="1269"/>
      <c r="E2" s="1269"/>
      <c r="F2" s="1269"/>
      <c r="G2" s="1269"/>
      <c r="H2" s="1269"/>
      <c r="I2" s="1269"/>
      <c r="J2" s="1269"/>
      <c r="K2" s="1269"/>
      <c r="L2" s="1269"/>
      <c r="M2" s="1269"/>
      <c r="N2" s="1269"/>
      <c r="O2" s="1269"/>
      <c r="P2" s="1269"/>
      <c r="Q2" s="1269"/>
      <c r="R2" s="1269"/>
      <c r="S2" s="1269"/>
      <c r="T2" s="1269"/>
      <c r="U2" s="1269"/>
      <c r="V2" s="1269"/>
      <c r="W2" s="1269"/>
      <c r="X2" s="1269"/>
    </row>
    <row r="3" spans="1:24" ht="15.75">
      <c r="A3" s="1270" t="s">
        <v>508</v>
      </c>
      <c r="B3" s="1270"/>
      <c r="C3" s="1270"/>
      <c r="D3" s="1270"/>
      <c r="E3" s="1270"/>
      <c r="F3" s="1270"/>
      <c r="G3" s="1270"/>
      <c r="H3" s="1270"/>
      <c r="I3" s="1270"/>
      <c r="J3" s="1270"/>
      <c r="K3" s="1270"/>
      <c r="L3" s="1270"/>
      <c r="M3" s="1270"/>
      <c r="N3" s="1270"/>
      <c r="O3" s="1270"/>
      <c r="P3" s="1270"/>
      <c r="Q3" s="1270"/>
      <c r="R3" s="1270"/>
      <c r="S3" s="1270"/>
      <c r="T3" s="1270"/>
      <c r="U3" s="1270"/>
      <c r="V3" s="1270"/>
      <c r="W3" s="1270"/>
      <c r="X3" s="1270"/>
    </row>
    <row r="4" spans="1:24" ht="14.25">
      <c r="A4" s="1271" t="s">
        <v>205</v>
      </c>
      <c r="B4" s="1271"/>
      <c r="C4" s="1271"/>
      <c r="D4" s="1271"/>
      <c r="E4" s="1271"/>
      <c r="F4" s="1271"/>
      <c r="G4" s="1271"/>
      <c r="H4" s="1271"/>
      <c r="I4" s="1271"/>
      <c r="J4" s="1271"/>
      <c r="K4" s="1271"/>
      <c r="L4" s="1271"/>
      <c r="M4" s="1271"/>
      <c r="N4" s="1271"/>
      <c r="O4" s="1271"/>
      <c r="P4" s="1271"/>
      <c r="Q4" s="1271"/>
      <c r="R4" s="1271"/>
      <c r="S4" s="1271"/>
      <c r="T4" s="1271"/>
      <c r="U4" s="1271"/>
      <c r="V4" s="1271"/>
      <c r="W4" s="1271"/>
      <c r="X4" s="1271"/>
    </row>
    <row r="5" ht="13.5" thickBot="1">
      <c r="X5" s="12" t="s">
        <v>2</v>
      </c>
    </row>
    <row r="6" spans="1:32" ht="24.75" customHeight="1">
      <c r="A6" s="1258" t="s">
        <v>24</v>
      </c>
      <c r="B6" s="1260" t="s">
        <v>25</v>
      </c>
      <c r="C6" s="1261"/>
      <c r="D6" s="1261"/>
      <c r="E6" s="1261"/>
      <c r="F6" s="1261"/>
      <c r="G6" s="1261"/>
      <c r="H6" s="1261"/>
      <c r="I6" s="1261"/>
      <c r="J6" s="1261"/>
      <c r="K6" s="1261"/>
      <c r="L6" s="1261"/>
      <c r="M6" s="1261"/>
      <c r="N6" s="1261"/>
      <c r="O6" s="1261"/>
      <c r="P6" s="1261"/>
      <c r="Q6" s="1261"/>
      <c r="R6" s="1262" t="s">
        <v>26</v>
      </c>
      <c r="S6" s="1263"/>
      <c r="T6" s="1263"/>
      <c r="U6" s="1263"/>
      <c r="V6" s="1263"/>
      <c r="W6" s="1263"/>
      <c r="X6" s="1263"/>
      <c r="Y6" s="1263"/>
      <c r="Z6" s="1263"/>
      <c r="AA6" s="1263"/>
      <c r="AB6" s="1263"/>
      <c r="AC6" s="1260"/>
      <c r="AD6" s="1260"/>
      <c r="AE6" s="1264"/>
      <c r="AF6" s="596"/>
    </row>
    <row r="7" spans="1:32" ht="24.75" customHeight="1">
      <c r="A7" s="1259"/>
      <c r="B7" s="1255" t="s">
        <v>69</v>
      </c>
      <c r="C7" s="1265"/>
      <c r="D7" s="1265"/>
      <c r="E7" s="1265"/>
      <c r="F7" s="1265"/>
      <c r="G7" s="1265"/>
      <c r="H7" s="1265"/>
      <c r="I7" s="1266"/>
      <c r="J7" s="1255" t="s">
        <v>70</v>
      </c>
      <c r="K7" s="1265"/>
      <c r="L7" s="1265"/>
      <c r="M7" s="1265"/>
      <c r="N7" s="1265"/>
      <c r="O7" s="1265"/>
      <c r="P7" s="1265"/>
      <c r="Q7" s="1265"/>
      <c r="R7" s="1267" t="s">
        <v>69</v>
      </c>
      <c r="S7" s="1254"/>
      <c r="T7" s="1254"/>
      <c r="U7" s="1254"/>
      <c r="V7" s="1254"/>
      <c r="W7" s="1030"/>
      <c r="X7" s="1254" t="s">
        <v>70</v>
      </c>
      <c r="Y7" s="1254"/>
      <c r="Z7" s="1254"/>
      <c r="AA7" s="1254"/>
      <c r="AB7" s="1254"/>
      <c r="AC7" s="1255"/>
      <c r="AD7" s="1255"/>
      <c r="AE7" s="1256"/>
      <c r="AF7" s="596"/>
    </row>
    <row r="8" spans="1:32" ht="42" customHeight="1">
      <c r="A8" s="320"/>
      <c r="B8" s="321" t="s">
        <v>246</v>
      </c>
      <c r="C8" s="321" t="s">
        <v>244</v>
      </c>
      <c r="D8" s="598" t="s">
        <v>249</v>
      </c>
      <c r="E8" s="321" t="s">
        <v>252</v>
      </c>
      <c r="F8" s="321" t="s">
        <v>537</v>
      </c>
      <c r="G8" s="321" t="s">
        <v>549</v>
      </c>
      <c r="H8" s="321" t="s">
        <v>464</v>
      </c>
      <c r="I8" s="321" t="s">
        <v>255</v>
      </c>
      <c r="J8" s="321" t="s">
        <v>246</v>
      </c>
      <c r="K8" s="911" t="s">
        <v>244</v>
      </c>
      <c r="L8" s="921" t="s">
        <v>249</v>
      </c>
      <c r="M8" s="922" t="s">
        <v>252</v>
      </c>
      <c r="N8" s="321" t="s">
        <v>537</v>
      </c>
      <c r="O8" s="321" t="s">
        <v>549</v>
      </c>
      <c r="P8" s="321" t="s">
        <v>464</v>
      </c>
      <c r="Q8" s="922" t="s">
        <v>255</v>
      </c>
      <c r="R8" s="912" t="s">
        <v>246</v>
      </c>
      <c r="S8" s="321" t="s">
        <v>244</v>
      </c>
      <c r="T8" s="598" t="s">
        <v>249</v>
      </c>
      <c r="U8" s="321" t="s">
        <v>539</v>
      </c>
      <c r="V8" s="321" t="s">
        <v>549</v>
      </c>
      <c r="W8" s="321" t="s">
        <v>464</v>
      </c>
      <c r="X8" s="321" t="s">
        <v>246</v>
      </c>
      <c r="Y8" s="321" t="s">
        <v>244</v>
      </c>
      <c r="Z8" s="598" t="s">
        <v>249</v>
      </c>
      <c r="AA8" s="321" t="s">
        <v>252</v>
      </c>
      <c r="AB8" s="321" t="s">
        <v>537</v>
      </c>
      <c r="AC8" s="321" t="s">
        <v>549</v>
      </c>
      <c r="AD8" s="321" t="s">
        <v>464</v>
      </c>
      <c r="AE8" s="321" t="s">
        <v>255</v>
      </c>
      <c r="AF8" s="596"/>
    </row>
    <row r="9" spans="1:32" ht="18">
      <c r="A9" s="48" t="s">
        <v>500</v>
      </c>
      <c r="B9" s="52"/>
      <c r="C9" s="52"/>
      <c r="D9" s="52"/>
      <c r="E9" s="52"/>
      <c r="F9" s="52"/>
      <c r="G9" s="52"/>
      <c r="H9" s="52"/>
      <c r="I9" s="52"/>
      <c r="J9" s="52">
        <v>60</v>
      </c>
      <c r="K9" s="52">
        <v>60</v>
      </c>
      <c r="L9" s="52">
        <v>60</v>
      </c>
      <c r="M9" s="52">
        <v>60</v>
      </c>
      <c r="N9" s="52">
        <v>60</v>
      </c>
      <c r="O9" s="52">
        <v>60</v>
      </c>
      <c r="P9" s="413"/>
      <c r="Q9" s="872">
        <f>P9/O9</f>
        <v>0</v>
      </c>
      <c r="R9" s="415"/>
      <c r="S9" s="53"/>
      <c r="T9" s="53"/>
      <c r="U9" s="53"/>
      <c r="V9" s="53"/>
      <c r="W9" s="53"/>
      <c r="X9" s="55"/>
      <c r="Y9" s="55"/>
      <c r="Z9" s="55"/>
      <c r="AA9" s="55"/>
      <c r="AB9" s="55"/>
      <c r="AC9" s="414"/>
      <c r="AD9" s="414"/>
      <c r="AE9" s="83"/>
      <c r="AF9" s="596"/>
    </row>
    <row r="10" spans="1:32" ht="18">
      <c r="A10" s="48" t="s">
        <v>501</v>
      </c>
      <c r="B10" s="52"/>
      <c r="C10" s="52"/>
      <c r="D10" s="52"/>
      <c r="E10" s="52"/>
      <c r="F10" s="52"/>
      <c r="G10" s="52"/>
      <c r="H10" s="52"/>
      <c r="I10" s="52"/>
      <c r="J10" s="52">
        <v>1000</v>
      </c>
      <c r="K10" s="52">
        <v>1000</v>
      </c>
      <c r="L10" s="52">
        <v>1000</v>
      </c>
      <c r="M10" s="52">
        <v>1000</v>
      </c>
      <c r="N10" s="52">
        <v>1000</v>
      </c>
      <c r="O10" s="52">
        <v>1000</v>
      </c>
      <c r="P10" s="413"/>
      <c r="Q10" s="872">
        <f aca="true" t="shared" si="0" ref="Q10:Q47">P10/O10</f>
        <v>0</v>
      </c>
      <c r="R10" s="415"/>
      <c r="S10" s="53"/>
      <c r="T10" s="53"/>
      <c r="U10" s="53"/>
      <c r="V10" s="53"/>
      <c r="W10" s="53"/>
      <c r="X10" s="55"/>
      <c r="Y10" s="55"/>
      <c r="Z10" s="55"/>
      <c r="AA10" s="55"/>
      <c r="AB10" s="55"/>
      <c r="AC10" s="414"/>
      <c r="AD10" s="414"/>
      <c r="AE10" s="83"/>
      <c r="AF10" s="596"/>
    </row>
    <row r="11" spans="1:32" ht="18" hidden="1">
      <c r="A11" s="48" t="s">
        <v>400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413"/>
      <c r="Q11" s="872" t="e">
        <f t="shared" si="0"/>
        <v>#DIV/0!</v>
      </c>
      <c r="R11" s="415"/>
      <c r="S11" s="53"/>
      <c r="T11" s="53"/>
      <c r="U11" s="53"/>
      <c r="V11" s="53"/>
      <c r="W11" s="53"/>
      <c r="X11" s="55"/>
      <c r="Y11" s="55"/>
      <c r="Z11" s="55"/>
      <c r="AA11" s="55"/>
      <c r="AB11" s="55"/>
      <c r="AC11" s="414"/>
      <c r="AD11" s="414"/>
      <c r="AE11" s="83"/>
      <c r="AF11" s="596"/>
    </row>
    <row r="12" spans="1:32" ht="18">
      <c r="A12" s="49" t="s">
        <v>230</v>
      </c>
      <c r="B12" s="52"/>
      <c r="C12" s="52"/>
      <c r="D12" s="52"/>
      <c r="E12" s="52"/>
      <c r="F12" s="52"/>
      <c r="G12" s="52"/>
      <c r="H12" s="52"/>
      <c r="I12" s="52"/>
      <c r="J12" s="52">
        <v>225</v>
      </c>
      <c r="K12" s="52">
        <v>225</v>
      </c>
      <c r="L12" s="52">
        <v>225</v>
      </c>
      <c r="M12" s="52">
        <v>225</v>
      </c>
      <c r="N12" s="52">
        <v>225</v>
      </c>
      <c r="O12" s="52">
        <v>225</v>
      </c>
      <c r="P12" s="413">
        <v>225</v>
      </c>
      <c r="Q12" s="872">
        <f t="shared" si="0"/>
        <v>1</v>
      </c>
      <c r="R12" s="415"/>
      <c r="S12" s="53"/>
      <c r="T12" s="53"/>
      <c r="U12" s="53"/>
      <c r="V12" s="53"/>
      <c r="W12" s="53"/>
      <c r="X12" s="55"/>
      <c r="Y12" s="55"/>
      <c r="Z12" s="55"/>
      <c r="AA12" s="55"/>
      <c r="AB12" s="55"/>
      <c r="AC12" s="414"/>
      <c r="AD12" s="414"/>
      <c r="AE12" s="83"/>
      <c r="AF12" s="596"/>
    </row>
    <row r="13" spans="1:32" ht="18">
      <c r="A13" s="49" t="s">
        <v>231</v>
      </c>
      <c r="B13" s="52"/>
      <c r="C13" s="52"/>
      <c r="D13" s="52"/>
      <c r="E13" s="52"/>
      <c r="F13" s="52"/>
      <c r="G13" s="52"/>
      <c r="H13" s="52"/>
      <c r="I13" s="52"/>
      <c r="J13" s="52">
        <v>490</v>
      </c>
      <c r="K13" s="52">
        <v>490</v>
      </c>
      <c r="L13" s="52">
        <v>0</v>
      </c>
      <c r="M13" s="52">
        <v>0</v>
      </c>
      <c r="N13" s="52">
        <v>0</v>
      </c>
      <c r="O13" s="52">
        <v>0</v>
      </c>
      <c r="P13" s="413"/>
      <c r="Q13" s="872"/>
      <c r="R13" s="415"/>
      <c r="S13" s="53"/>
      <c r="T13" s="53"/>
      <c r="U13" s="53"/>
      <c r="V13" s="53"/>
      <c r="W13" s="53"/>
      <c r="X13" s="55"/>
      <c r="Y13" s="55"/>
      <c r="Z13" s="55"/>
      <c r="AA13" s="55"/>
      <c r="AB13" s="55"/>
      <c r="AC13" s="414"/>
      <c r="AD13" s="414"/>
      <c r="AE13" s="83"/>
      <c r="AF13" s="596"/>
    </row>
    <row r="14" spans="1:32" ht="18">
      <c r="A14" s="49" t="s">
        <v>232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13"/>
      <c r="Q14" s="872"/>
      <c r="R14" s="415"/>
      <c r="S14" s="53"/>
      <c r="T14" s="53"/>
      <c r="U14" s="53"/>
      <c r="V14" s="53"/>
      <c r="W14" s="53"/>
      <c r="X14" s="55">
        <v>1800</v>
      </c>
      <c r="Y14" s="55">
        <v>1800</v>
      </c>
      <c r="Z14" s="55">
        <v>1800</v>
      </c>
      <c r="AA14" s="55">
        <v>1800</v>
      </c>
      <c r="AB14" s="55">
        <v>1800</v>
      </c>
      <c r="AC14" s="414">
        <v>1850</v>
      </c>
      <c r="AD14" s="414">
        <v>1850</v>
      </c>
      <c r="AE14" s="872">
        <f>AD14/AC14</f>
        <v>1</v>
      </c>
      <c r="AF14" s="596"/>
    </row>
    <row r="15" spans="1:32" ht="18" hidden="1">
      <c r="A15" s="49" t="s">
        <v>239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413"/>
      <c r="Q15" s="872" t="e">
        <f t="shared" si="0"/>
        <v>#DIV/0!</v>
      </c>
      <c r="R15" s="415"/>
      <c r="S15" s="53"/>
      <c r="T15" s="53"/>
      <c r="U15" s="53"/>
      <c r="V15" s="53"/>
      <c r="W15" s="53"/>
      <c r="X15" s="55"/>
      <c r="Y15" s="55"/>
      <c r="Z15" s="55"/>
      <c r="AA15" s="55"/>
      <c r="AB15" s="55"/>
      <c r="AC15" s="414"/>
      <c r="AD15" s="414"/>
      <c r="AE15" s="872" t="e">
        <f>AD15/AC15</f>
        <v>#DIV/0!</v>
      </c>
      <c r="AF15" s="596"/>
    </row>
    <row r="16" spans="1:32" ht="17.25" customHeight="1">
      <c r="A16" s="49" t="s">
        <v>233</v>
      </c>
      <c r="B16" s="52"/>
      <c r="C16" s="52"/>
      <c r="D16" s="52"/>
      <c r="E16" s="52"/>
      <c r="F16" s="52"/>
      <c r="G16" s="52"/>
      <c r="H16" s="52"/>
      <c r="I16" s="52"/>
      <c r="J16" s="52">
        <v>12601</v>
      </c>
      <c r="K16" s="52">
        <v>12601</v>
      </c>
      <c r="L16" s="52">
        <f>12601-1771</f>
        <v>10830</v>
      </c>
      <c r="M16" s="52">
        <f>12601-1771</f>
        <v>10830</v>
      </c>
      <c r="N16" s="52">
        <f>12601-1771</f>
        <v>10830</v>
      </c>
      <c r="O16" s="52">
        <f>12601-1771+7</f>
        <v>10837</v>
      </c>
      <c r="P16" s="52">
        <f>SUM(P17:P38)</f>
        <v>9260</v>
      </c>
      <c r="Q16" s="872">
        <f t="shared" si="0"/>
        <v>0.8544800221463504</v>
      </c>
      <c r="R16" s="416"/>
      <c r="S16" s="55"/>
      <c r="T16" s="55"/>
      <c r="U16" s="55"/>
      <c r="V16" s="55"/>
      <c r="W16" s="55"/>
      <c r="X16" s="55"/>
      <c r="Y16" s="55"/>
      <c r="Z16" s="55">
        <v>763</v>
      </c>
      <c r="AA16" s="55">
        <v>763</v>
      </c>
      <c r="AB16" s="55">
        <v>763</v>
      </c>
      <c r="AC16" s="414">
        <v>763</v>
      </c>
      <c r="AD16" s="414">
        <v>761</v>
      </c>
      <c r="AE16" s="872">
        <f>AD16/AC16</f>
        <v>0.9973787680209698</v>
      </c>
      <c r="AF16" s="596"/>
    </row>
    <row r="17" spans="1:32" ht="17.25" customHeight="1">
      <c r="A17" s="675" t="s">
        <v>401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413"/>
      <c r="Q17" s="872"/>
      <c r="R17" s="416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414"/>
      <c r="AD17" s="414"/>
      <c r="AE17" s="83"/>
      <c r="AF17" s="596"/>
    </row>
    <row r="18" spans="1:32" ht="17.25" customHeight="1">
      <c r="A18" s="675" t="s">
        <v>565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>
        <v>6271</v>
      </c>
      <c r="M18" s="52">
        <v>6271</v>
      </c>
      <c r="N18" s="52">
        <v>6271</v>
      </c>
      <c r="O18" s="52">
        <v>6271</v>
      </c>
      <c r="P18" s="413">
        <v>6149</v>
      </c>
      <c r="Q18" s="872">
        <f t="shared" si="0"/>
        <v>0.9805453675649817</v>
      </c>
      <c r="R18" s="416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414"/>
      <c r="AD18" s="414"/>
      <c r="AE18" s="83"/>
      <c r="AF18" s="924"/>
    </row>
    <row r="19" spans="1:32" ht="17.25" customHeight="1">
      <c r="A19" s="675" t="s">
        <v>402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>
        <v>700</v>
      </c>
      <c r="M19" s="52">
        <v>700</v>
      </c>
      <c r="N19" s="52">
        <v>700</v>
      </c>
      <c r="O19" s="52">
        <v>700</v>
      </c>
      <c r="P19" s="413">
        <f>350+350</f>
        <v>700</v>
      </c>
      <c r="Q19" s="872">
        <f t="shared" si="0"/>
        <v>1</v>
      </c>
      <c r="R19" s="416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414"/>
      <c r="AD19" s="414"/>
      <c r="AE19" s="83"/>
      <c r="AF19" s="596"/>
    </row>
    <row r="20" spans="1:32" ht="17.25" customHeight="1">
      <c r="A20" s="675" t="s">
        <v>403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>
        <v>500</v>
      </c>
      <c r="M20" s="52">
        <v>500</v>
      </c>
      <c r="N20" s="52">
        <v>500</v>
      </c>
      <c r="O20" s="52">
        <v>500</v>
      </c>
      <c r="P20" s="413">
        <f>250+250</f>
        <v>500</v>
      </c>
      <c r="Q20" s="872">
        <f t="shared" si="0"/>
        <v>1</v>
      </c>
      <c r="R20" s="416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414"/>
      <c r="AD20" s="414"/>
      <c r="AE20" s="83"/>
      <c r="AF20" s="596"/>
    </row>
    <row r="21" spans="1:32" ht="17.25" customHeight="1">
      <c r="A21" s="675" t="s">
        <v>405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>
        <v>342</v>
      </c>
      <c r="M21" s="52">
        <v>342</v>
      </c>
      <c r="N21" s="52">
        <v>342</v>
      </c>
      <c r="O21" s="52">
        <v>342</v>
      </c>
      <c r="P21" s="413">
        <f>64+57+64+57+100</f>
        <v>342</v>
      </c>
      <c r="Q21" s="872">
        <f t="shared" si="0"/>
        <v>1</v>
      </c>
      <c r="R21" s="416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414"/>
      <c r="AD21" s="414"/>
      <c r="AE21" s="83"/>
      <c r="AF21" s="596"/>
    </row>
    <row r="22" spans="1:32" ht="17.25" customHeight="1">
      <c r="A22" s="675" t="s">
        <v>526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>
        <v>190</v>
      </c>
      <c r="M22" s="52">
        <v>190</v>
      </c>
      <c r="N22" s="52">
        <v>190</v>
      </c>
      <c r="O22" s="52">
        <v>190</v>
      </c>
      <c r="P22" s="413">
        <f>70+50+38+32</f>
        <v>190</v>
      </c>
      <c r="Q22" s="872">
        <f t="shared" si="0"/>
        <v>1</v>
      </c>
      <c r="R22" s="416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414"/>
      <c r="AD22" s="414"/>
      <c r="AE22" s="83"/>
      <c r="AF22" s="596"/>
    </row>
    <row r="23" spans="1:32" ht="17.25" customHeight="1">
      <c r="A23" s="675" t="s">
        <v>414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>
        <v>289</v>
      </c>
      <c r="M23" s="52">
        <v>289</v>
      </c>
      <c r="N23" s="52">
        <v>289</v>
      </c>
      <c r="O23" s="52">
        <v>289</v>
      </c>
      <c r="P23" s="413">
        <f>77+41+78+42</f>
        <v>238</v>
      </c>
      <c r="Q23" s="872">
        <f t="shared" si="0"/>
        <v>0.8235294117647058</v>
      </c>
      <c r="R23" s="416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414"/>
      <c r="AD23" s="414"/>
      <c r="AE23" s="83"/>
      <c r="AF23" s="596"/>
    </row>
    <row r="24" spans="1:32" ht="17.25" customHeight="1" hidden="1">
      <c r="A24" s="675" t="s">
        <v>406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413"/>
      <c r="Q24" s="872" t="e">
        <f t="shared" si="0"/>
        <v>#DIV/0!</v>
      </c>
      <c r="R24" s="416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414"/>
      <c r="AD24" s="414"/>
      <c r="AE24" s="83"/>
      <c r="AF24" s="596"/>
    </row>
    <row r="25" spans="1:32" ht="17.25" customHeight="1" hidden="1">
      <c r="A25" s="675" t="s">
        <v>407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413"/>
      <c r="Q25" s="872" t="e">
        <f t="shared" si="0"/>
        <v>#DIV/0!</v>
      </c>
      <c r="R25" s="416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414"/>
      <c r="AD25" s="414"/>
      <c r="AE25" s="83"/>
      <c r="AF25" s="596"/>
    </row>
    <row r="26" spans="1:32" ht="17.25" customHeight="1">
      <c r="A26" s="675" t="s">
        <v>521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>
        <v>304</v>
      </c>
      <c r="M26" s="52">
        <v>304</v>
      </c>
      <c r="N26" s="52">
        <v>304</v>
      </c>
      <c r="O26" s="52">
        <f>304+60</f>
        <v>364</v>
      </c>
      <c r="P26" s="413">
        <f>60+72+72+60</f>
        <v>264</v>
      </c>
      <c r="Q26" s="872">
        <f t="shared" si="0"/>
        <v>0.7252747252747253</v>
      </c>
      <c r="R26" s="416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414"/>
      <c r="AD26" s="414"/>
      <c r="AE26" s="83"/>
      <c r="AF26" s="596"/>
    </row>
    <row r="27" spans="1:32" ht="17.25" customHeight="1">
      <c r="A27" s="675" t="s">
        <v>408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>
        <v>260</v>
      </c>
      <c r="M27" s="52">
        <v>260</v>
      </c>
      <c r="N27" s="52">
        <v>260</v>
      </c>
      <c r="O27" s="52">
        <v>260</v>
      </c>
      <c r="P27" s="413">
        <f>100+37+63+60</f>
        <v>260</v>
      </c>
      <c r="Q27" s="872">
        <f t="shared" si="0"/>
        <v>1</v>
      </c>
      <c r="R27" s="416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414"/>
      <c r="AD27" s="414"/>
      <c r="AE27" s="83"/>
      <c r="AF27" s="596"/>
    </row>
    <row r="28" spans="1:32" ht="17.25" customHeight="1" hidden="1">
      <c r="A28" s="675" t="s">
        <v>409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413"/>
      <c r="Q28" s="872" t="e">
        <f t="shared" si="0"/>
        <v>#DIV/0!</v>
      </c>
      <c r="R28" s="416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414"/>
      <c r="AD28" s="414"/>
      <c r="AE28" s="83"/>
      <c r="AF28" s="596"/>
    </row>
    <row r="29" spans="1:32" ht="17.25" customHeight="1">
      <c r="A29" s="675" t="s">
        <v>410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>
        <v>281</v>
      </c>
      <c r="M29" s="52">
        <v>281</v>
      </c>
      <c r="N29" s="52">
        <v>281</v>
      </c>
      <c r="O29" s="52">
        <v>281</v>
      </c>
      <c r="P29" s="413">
        <f>52+38+53+38+100</f>
        <v>281</v>
      </c>
      <c r="Q29" s="872">
        <f t="shared" si="0"/>
        <v>1</v>
      </c>
      <c r="R29" s="416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414"/>
      <c r="AD29" s="414"/>
      <c r="AE29" s="83"/>
      <c r="AF29" s="596"/>
    </row>
    <row r="30" spans="1:32" ht="17.25" customHeight="1" hidden="1">
      <c r="A30" s="675" t="s">
        <v>411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413"/>
      <c r="Q30" s="872" t="e">
        <f t="shared" si="0"/>
        <v>#DIV/0!</v>
      </c>
      <c r="R30" s="416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414"/>
      <c r="AD30" s="414"/>
      <c r="AE30" s="83"/>
      <c r="AF30" s="596"/>
    </row>
    <row r="31" spans="1:32" ht="17.25" customHeight="1" hidden="1">
      <c r="A31" s="675" t="s">
        <v>412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413"/>
      <c r="Q31" s="872" t="e">
        <f t="shared" si="0"/>
        <v>#DIV/0!</v>
      </c>
      <c r="R31" s="416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414"/>
      <c r="AD31" s="414"/>
      <c r="AE31" s="83"/>
      <c r="AF31" s="596"/>
    </row>
    <row r="32" spans="1:32" ht="17.25" customHeight="1">
      <c r="A32" s="675" t="s">
        <v>413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>
        <v>153</v>
      </c>
      <c r="M32" s="52">
        <v>153</v>
      </c>
      <c r="N32" s="52">
        <v>153</v>
      </c>
      <c r="O32" s="52">
        <v>153</v>
      </c>
      <c r="P32" s="413">
        <f>35+16+50+35+17</f>
        <v>153</v>
      </c>
      <c r="Q32" s="872">
        <f t="shared" si="0"/>
        <v>1</v>
      </c>
      <c r="R32" s="416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414"/>
      <c r="AD32" s="414"/>
      <c r="AE32" s="83"/>
      <c r="AF32" s="596"/>
    </row>
    <row r="33" spans="1:32" ht="17.25" customHeight="1" hidden="1">
      <c r="A33" s="675" t="s">
        <v>415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413"/>
      <c r="Q33" s="872" t="e">
        <f t="shared" si="0"/>
        <v>#DIV/0!</v>
      </c>
      <c r="R33" s="416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414"/>
      <c r="AD33" s="414"/>
      <c r="AE33" s="83"/>
      <c r="AF33" s="596"/>
    </row>
    <row r="34" spans="1:32" ht="17.25" customHeight="1" hidden="1">
      <c r="A34" s="675" t="s">
        <v>416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413"/>
      <c r="Q34" s="872" t="e">
        <f t="shared" si="0"/>
        <v>#DIV/0!</v>
      </c>
      <c r="R34" s="416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414"/>
      <c r="AD34" s="414"/>
      <c r="AE34" s="83"/>
      <c r="AF34" s="596"/>
    </row>
    <row r="35" spans="1:32" ht="17.25" customHeight="1" hidden="1">
      <c r="A35" s="675" t="s">
        <v>417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413"/>
      <c r="Q35" s="872" t="e">
        <f t="shared" si="0"/>
        <v>#DIV/0!</v>
      </c>
      <c r="R35" s="416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414"/>
      <c r="AD35" s="414"/>
      <c r="AE35" s="83"/>
      <c r="AF35" s="596"/>
    </row>
    <row r="36" spans="1:32" ht="17.25" customHeight="1">
      <c r="A36" s="675" t="s">
        <v>551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>
        <v>123</v>
      </c>
      <c r="P36" s="413">
        <f>15+21+50+15+22</f>
        <v>123</v>
      </c>
      <c r="Q36" s="872">
        <f t="shared" si="0"/>
        <v>1</v>
      </c>
      <c r="R36" s="416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414"/>
      <c r="AD36" s="414"/>
      <c r="AE36" s="83"/>
      <c r="AF36" s="596"/>
    </row>
    <row r="37" spans="1:32" ht="17.25" customHeight="1">
      <c r="A37" s="675" t="s">
        <v>553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>
        <v>60</v>
      </c>
      <c r="P37" s="413">
        <v>60</v>
      </c>
      <c r="Q37" s="872">
        <f t="shared" si="0"/>
        <v>1</v>
      </c>
      <c r="R37" s="416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414"/>
      <c r="AD37" s="414"/>
      <c r="AE37" s="83"/>
      <c r="AF37" s="596"/>
    </row>
    <row r="38" spans="1:32" ht="17.25" customHeight="1">
      <c r="A38" s="675" t="s">
        <v>525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>
        <v>1540</v>
      </c>
      <c r="M38" s="52">
        <v>1540</v>
      </c>
      <c r="N38" s="52">
        <v>1540</v>
      </c>
      <c r="O38" s="52">
        <f>1540-123-120+7</f>
        <v>1304</v>
      </c>
      <c r="P38" s="413"/>
      <c r="Q38" s="872">
        <f t="shared" si="0"/>
        <v>0</v>
      </c>
      <c r="R38" s="416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414"/>
      <c r="AD38" s="414"/>
      <c r="AE38" s="83"/>
      <c r="AF38" s="596"/>
    </row>
    <row r="39" spans="1:32" ht="17.25" customHeight="1">
      <c r="A39" s="49" t="s">
        <v>522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>
        <f>SUM(L40:L44)</f>
        <v>1771</v>
      </c>
      <c r="M39" s="52">
        <f>SUM(M40:M44)</f>
        <v>1771</v>
      </c>
      <c r="N39" s="52">
        <f>SUM(N40:N44)</f>
        <v>1771</v>
      </c>
      <c r="O39" s="52">
        <f>SUM(O40:O44)</f>
        <v>1771</v>
      </c>
      <c r="P39" s="52">
        <f>SUM(P40:P44)</f>
        <v>1607</v>
      </c>
      <c r="Q39" s="872">
        <f t="shared" si="0"/>
        <v>0.9073969508752118</v>
      </c>
      <c r="R39" s="416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414"/>
      <c r="AD39" s="414"/>
      <c r="AE39" s="83"/>
      <c r="AF39" s="596"/>
    </row>
    <row r="40" spans="1:32" ht="17.25" customHeight="1">
      <c r="A40" s="675" t="s">
        <v>401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>
        <v>296</v>
      </c>
      <c r="M40" s="52">
        <v>296</v>
      </c>
      <c r="N40" s="52">
        <v>296</v>
      </c>
      <c r="O40" s="52">
        <v>296</v>
      </c>
      <c r="P40" s="413">
        <v>296</v>
      </c>
      <c r="Q40" s="872">
        <f t="shared" si="0"/>
        <v>1</v>
      </c>
      <c r="R40" s="416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414"/>
      <c r="AD40" s="414"/>
      <c r="AE40" s="83"/>
      <c r="AF40" s="924"/>
    </row>
    <row r="41" spans="1:32" ht="17.25" customHeight="1">
      <c r="A41" s="675" t="s">
        <v>409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>
        <v>1291</v>
      </c>
      <c r="M41" s="52">
        <v>1291</v>
      </c>
      <c r="N41" s="52">
        <v>1291</v>
      </c>
      <c r="O41" s="52">
        <v>1291</v>
      </c>
      <c r="P41" s="413">
        <v>1147</v>
      </c>
      <c r="Q41" s="872">
        <f t="shared" si="0"/>
        <v>0.8884585592563904</v>
      </c>
      <c r="R41" s="416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414"/>
      <c r="AD41" s="414"/>
      <c r="AE41" s="83"/>
      <c r="AF41" s="596"/>
    </row>
    <row r="42" spans="1:32" ht="17.25" customHeight="1">
      <c r="A42" s="675" t="s">
        <v>411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>
        <v>164</v>
      </c>
      <c r="M42" s="52">
        <v>164</v>
      </c>
      <c r="N42" s="52">
        <v>164</v>
      </c>
      <c r="O42" s="52">
        <v>164</v>
      </c>
      <c r="P42" s="413">
        <v>164</v>
      </c>
      <c r="Q42" s="872">
        <f t="shared" si="0"/>
        <v>1</v>
      </c>
      <c r="R42" s="416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414"/>
      <c r="AD42" s="414"/>
      <c r="AE42" s="83"/>
      <c r="AF42" s="596"/>
    </row>
    <row r="43" spans="1:32" ht="17.25" customHeight="1">
      <c r="A43" s="675" t="s">
        <v>523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>
        <v>10</v>
      </c>
      <c r="M43" s="52">
        <v>10</v>
      </c>
      <c r="N43" s="52">
        <v>10</v>
      </c>
      <c r="O43" s="52">
        <v>10</v>
      </c>
      <c r="P43" s="413">
        <v>0</v>
      </c>
      <c r="Q43" s="872">
        <f t="shared" si="0"/>
        <v>0</v>
      </c>
      <c r="R43" s="416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414"/>
      <c r="AD43" s="414"/>
      <c r="AE43" s="83"/>
      <c r="AF43" s="596"/>
    </row>
    <row r="44" spans="1:32" ht="17.25" customHeight="1">
      <c r="A44" s="675" t="s">
        <v>524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>
        <v>10</v>
      </c>
      <c r="M44" s="52">
        <v>10</v>
      </c>
      <c r="N44" s="52">
        <v>10</v>
      </c>
      <c r="O44" s="52">
        <v>10</v>
      </c>
      <c r="P44" s="413">
        <v>0</v>
      </c>
      <c r="Q44" s="872">
        <f t="shared" si="0"/>
        <v>0</v>
      </c>
      <c r="R44" s="416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414"/>
      <c r="AD44" s="414"/>
      <c r="AE44" s="83"/>
      <c r="AF44" s="596"/>
    </row>
    <row r="45" spans="1:32" ht="17.25" customHeight="1">
      <c r="A45" s="49" t="s">
        <v>519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>
        <v>50</v>
      </c>
      <c r="M45" s="52">
        <v>50</v>
      </c>
      <c r="N45" s="52">
        <v>50</v>
      </c>
      <c r="O45" s="52">
        <v>50</v>
      </c>
      <c r="P45" s="413">
        <v>50</v>
      </c>
      <c r="Q45" s="872">
        <f t="shared" si="0"/>
        <v>1</v>
      </c>
      <c r="R45" s="416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414"/>
      <c r="AD45" s="414"/>
      <c r="AE45" s="83"/>
      <c r="AF45" s="596"/>
    </row>
    <row r="46" spans="1:32" ht="17.25" customHeight="1">
      <c r="A46" s="49" t="s">
        <v>520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>
        <v>20</v>
      </c>
      <c r="M46" s="52">
        <v>20</v>
      </c>
      <c r="N46" s="52">
        <v>20</v>
      </c>
      <c r="O46" s="52">
        <v>20</v>
      </c>
      <c r="P46" s="413">
        <v>0</v>
      </c>
      <c r="Q46" s="872">
        <f t="shared" si="0"/>
        <v>0</v>
      </c>
      <c r="R46" s="416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414"/>
      <c r="AD46" s="414"/>
      <c r="AE46" s="83"/>
      <c r="AF46" s="596"/>
    </row>
    <row r="47" spans="1:32" ht="17.25" customHeight="1">
      <c r="A47" s="49" t="s">
        <v>552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>
        <v>13</v>
      </c>
      <c r="P47" s="413">
        <v>12</v>
      </c>
      <c r="Q47" s="872">
        <f t="shared" si="0"/>
        <v>0.9230769230769231</v>
      </c>
      <c r="R47" s="416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414"/>
      <c r="AD47" s="414"/>
      <c r="AE47" s="83"/>
      <c r="AF47" s="596"/>
    </row>
    <row r="48" spans="1:32" ht="17.25" customHeight="1" hidden="1">
      <c r="A48" s="49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413"/>
      <c r="Q48" s="413"/>
      <c r="R48" s="416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414"/>
      <c r="AD48" s="414"/>
      <c r="AE48" s="83"/>
      <c r="AF48" s="596"/>
    </row>
    <row r="49" spans="1:32" ht="17.25" customHeight="1" hidden="1">
      <c r="A49" s="49" t="s">
        <v>418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413"/>
      <c r="Q49" s="872"/>
      <c r="R49" s="416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414"/>
      <c r="AD49" s="414"/>
      <c r="AE49" s="83"/>
      <c r="AF49" s="596"/>
    </row>
    <row r="50" spans="1:32" ht="17.25" customHeight="1" hidden="1">
      <c r="A50" s="49" t="s">
        <v>404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413"/>
      <c r="Q50" s="872"/>
      <c r="R50" s="416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414"/>
      <c r="AD50" s="414"/>
      <c r="AE50" s="83"/>
      <c r="AF50" s="596"/>
    </row>
    <row r="51" spans="1:32" s="19" customFormat="1" ht="18" hidden="1">
      <c r="A51" s="49" t="s">
        <v>234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413"/>
      <c r="Q51" s="872"/>
      <c r="R51" s="417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413"/>
      <c r="AD51" s="413"/>
      <c r="AE51" s="83"/>
      <c r="AF51" s="597"/>
    </row>
    <row r="52" spans="1:32" ht="18" hidden="1">
      <c r="A52" s="48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414"/>
      <c r="Q52" s="872"/>
      <c r="R52" s="417"/>
      <c r="S52" s="52"/>
      <c r="T52" s="52"/>
      <c r="U52" s="52"/>
      <c r="V52" s="52"/>
      <c r="W52" s="52"/>
      <c r="X52" s="55"/>
      <c r="Y52" s="55"/>
      <c r="Z52" s="55"/>
      <c r="AA52" s="55"/>
      <c r="AB52" s="55"/>
      <c r="AC52" s="414"/>
      <c r="AD52" s="414"/>
      <c r="AE52" s="54"/>
      <c r="AF52" s="596"/>
    </row>
    <row r="53" spans="1:32" ht="18">
      <c r="A53" s="48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414"/>
      <c r="Q53" s="872"/>
      <c r="R53" s="417"/>
      <c r="S53" s="52"/>
      <c r="T53" s="52"/>
      <c r="U53" s="52"/>
      <c r="V53" s="52"/>
      <c r="W53" s="52"/>
      <c r="X53" s="55"/>
      <c r="Y53" s="55"/>
      <c r="Z53" s="55"/>
      <c r="AA53" s="55"/>
      <c r="AB53" s="55"/>
      <c r="AC53" s="414"/>
      <c r="AD53" s="414"/>
      <c r="AE53" s="54"/>
      <c r="AF53" s="596"/>
    </row>
    <row r="54" spans="1:32" ht="23.25" customHeight="1" thickBot="1">
      <c r="A54" s="50" t="s">
        <v>1</v>
      </c>
      <c r="B54" s="56">
        <f aca="true" t="shared" si="1" ref="B54:AD54">SUM(B9:B53)</f>
        <v>0</v>
      </c>
      <c r="C54" s="56">
        <f t="shared" si="1"/>
        <v>0</v>
      </c>
      <c r="D54" s="56">
        <f t="shared" si="1"/>
        <v>0</v>
      </c>
      <c r="E54" s="56">
        <f t="shared" si="1"/>
        <v>0</v>
      </c>
      <c r="F54" s="56">
        <f t="shared" si="1"/>
        <v>0</v>
      </c>
      <c r="G54" s="56">
        <f t="shared" si="1"/>
        <v>0</v>
      </c>
      <c r="H54" s="56">
        <f t="shared" si="1"/>
        <v>0</v>
      </c>
      <c r="I54" s="56">
        <f t="shared" si="1"/>
        <v>0</v>
      </c>
      <c r="J54" s="56">
        <f t="shared" si="1"/>
        <v>14376</v>
      </c>
      <c r="K54" s="56">
        <f>SUM(K9:K53)</f>
        <v>14376</v>
      </c>
      <c r="L54" s="56">
        <f>SUM(L9:L16,L39,L45:L46)</f>
        <v>13956</v>
      </c>
      <c r="M54" s="56">
        <f>SUM(M9:M16,M39,M45:M46)</f>
        <v>13956</v>
      </c>
      <c r="N54" s="56">
        <f>SUM(N9:N16,N39,N45:N46)</f>
        <v>13956</v>
      </c>
      <c r="O54" s="56">
        <f>SUM(O9:O16,O39,O45:O47)</f>
        <v>13976</v>
      </c>
      <c r="P54" s="56">
        <f>SUM(P9:P16,P39,P45:P47)</f>
        <v>11154</v>
      </c>
      <c r="Q54" s="877">
        <f>P54/O54</f>
        <v>0.7980824270177447</v>
      </c>
      <c r="R54" s="874">
        <f t="shared" si="1"/>
        <v>0</v>
      </c>
      <c r="S54" s="56">
        <f t="shared" si="1"/>
        <v>0</v>
      </c>
      <c r="T54" s="56">
        <f t="shared" si="1"/>
        <v>0</v>
      </c>
      <c r="U54" s="56">
        <f t="shared" si="1"/>
        <v>0</v>
      </c>
      <c r="V54" s="56">
        <f t="shared" si="1"/>
        <v>0</v>
      </c>
      <c r="W54" s="56"/>
      <c r="X54" s="56">
        <f t="shared" si="1"/>
        <v>1800</v>
      </c>
      <c r="Y54" s="56">
        <f>SUM(Y9:Y53)</f>
        <v>1800</v>
      </c>
      <c r="Z54" s="56">
        <f t="shared" si="1"/>
        <v>2563</v>
      </c>
      <c r="AA54" s="56">
        <f t="shared" si="1"/>
        <v>2563</v>
      </c>
      <c r="AB54" s="56">
        <f t="shared" si="1"/>
        <v>2563</v>
      </c>
      <c r="AC54" s="56">
        <f t="shared" si="1"/>
        <v>2613</v>
      </c>
      <c r="AD54" s="56">
        <f t="shared" si="1"/>
        <v>2611</v>
      </c>
      <c r="AE54" s="877">
        <f>AD54/AC54</f>
        <v>0.9992345962495216</v>
      </c>
      <c r="AF54" s="873"/>
    </row>
    <row r="55" spans="1:31" ht="15">
      <c r="A55" s="47"/>
      <c r="B55" s="14"/>
      <c r="C55" s="14"/>
      <c r="D55" s="14"/>
      <c r="E55" s="14"/>
      <c r="F55" s="14"/>
      <c r="G55" s="14"/>
      <c r="H55" s="14"/>
      <c r="I55" s="14"/>
      <c r="J55" s="305"/>
      <c r="K55" s="305"/>
      <c r="L55" s="305"/>
      <c r="M55" s="305"/>
      <c r="N55" s="305"/>
      <c r="O55" s="305"/>
      <c r="P55" s="305"/>
      <c r="Q55" s="305"/>
      <c r="R55" s="305"/>
      <c r="S55" s="14"/>
      <c r="T55" s="14"/>
      <c r="U55" s="14"/>
      <c r="V55" s="14"/>
      <c r="W55" s="14"/>
      <c r="X55" s="305"/>
      <c r="AB55" s="411"/>
      <c r="AC55" s="411"/>
      <c r="AD55" s="411"/>
      <c r="AE55" s="411"/>
    </row>
    <row r="56" spans="1:24" ht="14.25">
      <c r="A56" s="1257" t="s">
        <v>237</v>
      </c>
      <c r="B56" s="1257"/>
      <c r="C56" s="1257"/>
      <c r="D56" s="1257"/>
      <c r="E56" s="1257"/>
      <c r="F56" s="1257"/>
      <c r="G56" s="1257"/>
      <c r="H56" s="1257"/>
      <c r="I56" s="1257"/>
      <c r="J56" s="1257"/>
      <c r="K56" s="1257"/>
      <c r="L56" s="1257"/>
      <c r="M56" s="1257"/>
      <c r="N56" s="1257"/>
      <c r="O56" s="1257"/>
      <c r="P56" s="1257"/>
      <c r="Q56" s="1257"/>
      <c r="R56" s="1257"/>
      <c r="S56" s="1257"/>
      <c r="T56" s="1257"/>
      <c r="U56" s="1257"/>
      <c r="V56" s="1257"/>
      <c r="W56" s="1257"/>
      <c r="X56" s="1257"/>
    </row>
    <row r="57" ht="13.5" thickBot="1">
      <c r="X57" s="12"/>
    </row>
    <row r="58" spans="1:32" ht="29.25" customHeight="1">
      <c r="A58" s="1258" t="s">
        <v>236</v>
      </c>
      <c r="B58" s="1260" t="s">
        <v>25</v>
      </c>
      <c r="C58" s="1261"/>
      <c r="D58" s="1261"/>
      <c r="E58" s="1261"/>
      <c r="F58" s="1261"/>
      <c r="G58" s="1261"/>
      <c r="H58" s="1261"/>
      <c r="I58" s="1261"/>
      <c r="J58" s="1261"/>
      <c r="K58" s="1261"/>
      <c r="L58" s="1261"/>
      <c r="M58" s="1261"/>
      <c r="N58" s="1261"/>
      <c r="O58" s="1261"/>
      <c r="P58" s="1261"/>
      <c r="Q58" s="1261"/>
      <c r="R58" s="1262" t="s">
        <v>26</v>
      </c>
      <c r="S58" s="1263"/>
      <c r="T58" s="1263"/>
      <c r="U58" s="1263"/>
      <c r="V58" s="1263"/>
      <c r="W58" s="1263"/>
      <c r="X58" s="1263"/>
      <c r="Y58" s="1263"/>
      <c r="Z58" s="1263"/>
      <c r="AA58" s="1263"/>
      <c r="AB58" s="1263"/>
      <c r="AC58" s="1260"/>
      <c r="AD58" s="1260"/>
      <c r="AE58" s="1264"/>
      <c r="AF58" s="596"/>
    </row>
    <row r="59" spans="1:32" ht="29.25" customHeight="1">
      <c r="A59" s="1259"/>
      <c r="B59" s="1255" t="s">
        <v>69</v>
      </c>
      <c r="C59" s="1265"/>
      <c r="D59" s="1265"/>
      <c r="E59" s="1265"/>
      <c r="F59" s="1265"/>
      <c r="G59" s="1265"/>
      <c r="H59" s="1265"/>
      <c r="I59" s="1266"/>
      <c r="J59" s="1255" t="s">
        <v>70</v>
      </c>
      <c r="K59" s="1265"/>
      <c r="L59" s="1265"/>
      <c r="M59" s="1265"/>
      <c r="N59" s="1265"/>
      <c r="O59" s="1265"/>
      <c r="P59" s="1265"/>
      <c r="Q59" s="1265"/>
      <c r="R59" s="1267" t="s">
        <v>69</v>
      </c>
      <c r="S59" s="1254"/>
      <c r="T59" s="1254"/>
      <c r="U59" s="1254"/>
      <c r="V59" s="1254"/>
      <c r="W59" s="1030"/>
      <c r="X59" s="1254" t="s">
        <v>70</v>
      </c>
      <c r="Y59" s="1254"/>
      <c r="Z59" s="1254"/>
      <c r="AA59" s="1254"/>
      <c r="AB59" s="1254"/>
      <c r="AC59" s="1255"/>
      <c r="AD59" s="1255"/>
      <c r="AE59" s="1256"/>
      <c r="AF59" s="596"/>
    </row>
    <row r="60" spans="1:32" ht="29.25" customHeight="1">
      <c r="A60" s="320"/>
      <c r="B60" s="321" t="s">
        <v>246</v>
      </c>
      <c r="C60" s="321" t="s">
        <v>244</v>
      </c>
      <c r="D60" s="598" t="s">
        <v>249</v>
      </c>
      <c r="E60" s="321" t="s">
        <v>252</v>
      </c>
      <c r="F60" s="321" t="s">
        <v>537</v>
      </c>
      <c r="G60" s="321" t="s">
        <v>549</v>
      </c>
      <c r="H60" s="321" t="s">
        <v>464</v>
      </c>
      <c r="I60" s="321" t="s">
        <v>255</v>
      </c>
      <c r="J60" s="321" t="s">
        <v>246</v>
      </c>
      <c r="K60" s="911" t="s">
        <v>244</v>
      </c>
      <c r="L60" s="921" t="s">
        <v>249</v>
      </c>
      <c r="M60" s="922" t="s">
        <v>252</v>
      </c>
      <c r="N60" s="321" t="s">
        <v>537</v>
      </c>
      <c r="O60" s="981" t="s">
        <v>549</v>
      </c>
      <c r="P60" s="321" t="s">
        <v>464</v>
      </c>
      <c r="Q60" s="922" t="s">
        <v>255</v>
      </c>
      <c r="R60" s="912" t="s">
        <v>246</v>
      </c>
      <c r="S60" s="321" t="s">
        <v>244</v>
      </c>
      <c r="T60" s="598" t="s">
        <v>249</v>
      </c>
      <c r="U60" s="321" t="s">
        <v>252</v>
      </c>
      <c r="V60" s="321" t="s">
        <v>549</v>
      </c>
      <c r="W60" s="321" t="s">
        <v>464</v>
      </c>
      <c r="X60" s="321" t="s">
        <v>246</v>
      </c>
      <c r="Y60" s="321" t="s">
        <v>244</v>
      </c>
      <c r="Z60" s="598" t="s">
        <v>249</v>
      </c>
      <c r="AA60" s="321" t="s">
        <v>252</v>
      </c>
      <c r="AB60" s="321" t="s">
        <v>537</v>
      </c>
      <c r="AC60" s="981" t="s">
        <v>549</v>
      </c>
      <c r="AD60" s="321" t="s">
        <v>464</v>
      </c>
      <c r="AE60" s="321" t="s">
        <v>255</v>
      </c>
      <c r="AF60" s="596"/>
    </row>
    <row r="61" spans="1:32" ht="30.75">
      <c r="A61" s="48" t="s">
        <v>263</v>
      </c>
      <c r="B61" s="55">
        <v>675</v>
      </c>
      <c r="C61" s="55">
        <v>675</v>
      </c>
      <c r="D61" s="55">
        <v>675</v>
      </c>
      <c r="E61" s="55">
        <v>675</v>
      </c>
      <c r="F61" s="55">
        <v>675</v>
      </c>
      <c r="G61" s="55">
        <v>353</v>
      </c>
      <c r="H61" s="414">
        <v>353</v>
      </c>
      <c r="I61" s="872">
        <f>H61/G61</f>
        <v>1</v>
      </c>
      <c r="J61" s="55"/>
      <c r="K61" s="55"/>
      <c r="L61" s="55"/>
      <c r="M61" s="55"/>
      <c r="N61" s="414"/>
      <c r="O61" s="414"/>
      <c r="P61" s="414"/>
      <c r="Q61" s="414"/>
      <c r="R61" s="417"/>
      <c r="S61" s="52"/>
      <c r="T61" s="52"/>
      <c r="U61" s="52"/>
      <c r="V61" s="52"/>
      <c r="W61" s="52"/>
      <c r="X61" s="55"/>
      <c r="Y61" s="55"/>
      <c r="Z61" s="55"/>
      <c r="AA61" s="55"/>
      <c r="AB61" s="52"/>
      <c r="AC61" s="413"/>
      <c r="AD61" s="413"/>
      <c r="AE61" s="83"/>
      <c r="AF61" s="596"/>
    </row>
    <row r="62" spans="1:32" ht="18">
      <c r="A62" s="48" t="s">
        <v>550</v>
      </c>
      <c r="B62" s="84"/>
      <c r="C62" s="84"/>
      <c r="D62" s="84"/>
      <c r="E62" s="84"/>
      <c r="F62" s="84"/>
      <c r="G62" s="84"/>
      <c r="H62" s="418"/>
      <c r="I62" s="872"/>
      <c r="J62" s="84"/>
      <c r="K62" s="84"/>
      <c r="L62" s="84"/>
      <c r="M62" s="84"/>
      <c r="N62" s="418"/>
      <c r="O62" s="418">
        <v>6</v>
      </c>
      <c r="P62" s="418">
        <v>6</v>
      </c>
      <c r="Q62" s="872">
        <f>P62/O62</f>
        <v>1</v>
      </c>
      <c r="R62" s="417"/>
      <c r="S62" s="52"/>
      <c r="T62" s="52"/>
      <c r="U62" s="52"/>
      <c r="V62" s="52"/>
      <c r="W62" s="52"/>
      <c r="X62" s="55"/>
      <c r="Y62" s="55"/>
      <c r="Z62" s="55"/>
      <c r="AA62" s="55"/>
      <c r="AB62" s="52"/>
      <c r="AC62" s="413"/>
      <c r="AD62" s="413"/>
      <c r="AE62" s="83"/>
      <c r="AF62" s="596"/>
    </row>
    <row r="63" spans="1:32" ht="18">
      <c r="A63" s="85" t="s">
        <v>238</v>
      </c>
      <c r="B63" s="84"/>
      <c r="C63" s="84"/>
      <c r="D63" s="84"/>
      <c r="E63" s="84"/>
      <c r="F63" s="84"/>
      <c r="G63" s="84"/>
      <c r="H63" s="84"/>
      <c r="I63" s="84"/>
      <c r="J63" s="84">
        <v>353</v>
      </c>
      <c r="K63" s="84">
        <v>353</v>
      </c>
      <c r="L63" s="84">
        <v>353</v>
      </c>
      <c r="M63" s="84">
        <v>353</v>
      </c>
      <c r="N63" s="84">
        <v>353</v>
      </c>
      <c r="O63" s="84">
        <v>136</v>
      </c>
      <c r="P63" s="418">
        <v>136</v>
      </c>
      <c r="Q63" s="872">
        <f>P63/O63</f>
        <v>1</v>
      </c>
      <c r="R63" s="417"/>
      <c r="S63" s="52"/>
      <c r="T63" s="52"/>
      <c r="U63" s="52"/>
      <c r="V63" s="52"/>
      <c r="W63" s="52"/>
      <c r="X63" s="55"/>
      <c r="Y63" s="55"/>
      <c r="Z63" s="55"/>
      <c r="AA63" s="55"/>
      <c r="AB63" s="52"/>
      <c r="AC63" s="413"/>
      <c r="AD63" s="413"/>
      <c r="AE63" s="83"/>
      <c r="AF63" s="596"/>
    </row>
    <row r="64" spans="1:32" ht="18">
      <c r="A64" s="85" t="s">
        <v>239</v>
      </c>
      <c r="B64" s="84"/>
      <c r="C64" s="84"/>
      <c r="D64" s="84"/>
      <c r="E64" s="84"/>
      <c r="F64" s="84"/>
      <c r="G64" s="84"/>
      <c r="H64" s="84"/>
      <c r="I64" s="84"/>
      <c r="J64" s="84">
        <v>310</v>
      </c>
      <c r="K64" s="84">
        <v>310</v>
      </c>
      <c r="L64" s="84">
        <v>310</v>
      </c>
      <c r="M64" s="84">
        <v>310</v>
      </c>
      <c r="N64" s="84">
        <v>310</v>
      </c>
      <c r="O64" s="84">
        <v>309</v>
      </c>
      <c r="P64" s="418">
        <v>309</v>
      </c>
      <c r="Q64" s="872">
        <f>P64/O64</f>
        <v>1</v>
      </c>
      <c r="R64" s="417"/>
      <c r="S64" s="52"/>
      <c r="T64" s="52"/>
      <c r="U64" s="52"/>
      <c r="V64" s="52"/>
      <c r="W64" s="52"/>
      <c r="X64" s="55"/>
      <c r="Y64" s="55"/>
      <c r="Z64" s="55"/>
      <c r="AA64" s="55"/>
      <c r="AB64" s="52"/>
      <c r="AC64" s="413"/>
      <c r="AD64" s="413"/>
      <c r="AE64" s="83"/>
      <c r="AF64" s="596"/>
    </row>
    <row r="65" spans="1:32" ht="18">
      <c r="A65" s="85" t="s">
        <v>374</v>
      </c>
      <c r="B65" s="84"/>
      <c r="C65" s="84"/>
      <c r="D65" s="84"/>
      <c r="E65" s="84"/>
      <c r="F65" s="84"/>
      <c r="G65" s="84"/>
      <c r="H65" s="84"/>
      <c r="I65" s="84"/>
      <c r="J65" s="84">
        <v>55</v>
      </c>
      <c r="K65" s="84">
        <v>55</v>
      </c>
      <c r="L65" s="84">
        <v>55</v>
      </c>
      <c r="M65" s="84">
        <v>55</v>
      </c>
      <c r="N65" s="84">
        <v>55</v>
      </c>
      <c r="O65" s="84">
        <v>54</v>
      </c>
      <c r="P65" s="418">
        <v>54</v>
      </c>
      <c r="Q65" s="872">
        <f>P65/O65</f>
        <v>1</v>
      </c>
      <c r="R65" s="417"/>
      <c r="S65" s="52"/>
      <c r="T65" s="52"/>
      <c r="U65" s="52"/>
      <c r="V65" s="52"/>
      <c r="W65" s="52"/>
      <c r="X65" s="55"/>
      <c r="Y65" s="55"/>
      <c r="Z65" s="55"/>
      <c r="AA65" s="55"/>
      <c r="AB65" s="52"/>
      <c r="AC65" s="413"/>
      <c r="AD65" s="413"/>
      <c r="AE65" s="83"/>
      <c r="AF65" s="596"/>
    </row>
    <row r="66" spans="1:32" ht="18">
      <c r="A66" s="85" t="s">
        <v>240</v>
      </c>
      <c r="B66" s="84"/>
      <c r="C66" s="84"/>
      <c r="D66" s="84"/>
      <c r="E66" s="84"/>
      <c r="F66" s="84"/>
      <c r="G66" s="84"/>
      <c r="H66" s="84"/>
      <c r="I66" s="84"/>
      <c r="J66" s="84">
        <v>56</v>
      </c>
      <c r="K66" s="84">
        <v>56</v>
      </c>
      <c r="L66" s="84">
        <v>56</v>
      </c>
      <c r="M66" s="84">
        <v>56</v>
      </c>
      <c r="N66" s="84">
        <v>56</v>
      </c>
      <c r="O66" s="84">
        <v>0</v>
      </c>
      <c r="P66" s="418">
        <v>0</v>
      </c>
      <c r="Q66" s="872"/>
      <c r="R66" s="417"/>
      <c r="S66" s="52"/>
      <c r="T66" s="52"/>
      <c r="U66" s="52"/>
      <c r="V66" s="52"/>
      <c r="W66" s="52"/>
      <c r="X66" s="55"/>
      <c r="Y66" s="55"/>
      <c r="Z66" s="55"/>
      <c r="AA66" s="55"/>
      <c r="AB66" s="52"/>
      <c r="AC66" s="413"/>
      <c r="AD66" s="413"/>
      <c r="AE66" s="83"/>
      <c r="AF66" s="596"/>
    </row>
    <row r="67" spans="1:32" ht="18">
      <c r="A67" s="85" t="s">
        <v>241</v>
      </c>
      <c r="B67" s="84"/>
      <c r="C67" s="84"/>
      <c r="D67" s="84"/>
      <c r="E67" s="84"/>
      <c r="F67" s="84"/>
      <c r="G67" s="84"/>
      <c r="H67" s="84"/>
      <c r="I67" s="84"/>
      <c r="J67" s="84">
        <v>87</v>
      </c>
      <c r="K67" s="84">
        <v>87</v>
      </c>
      <c r="L67" s="84">
        <v>87</v>
      </c>
      <c r="M67" s="84">
        <v>87</v>
      </c>
      <c r="N67" s="84">
        <v>87</v>
      </c>
      <c r="O67" s="84">
        <v>0</v>
      </c>
      <c r="P67" s="418">
        <v>0</v>
      </c>
      <c r="Q67" s="872"/>
      <c r="R67" s="417"/>
      <c r="S67" s="52"/>
      <c r="T67" s="52"/>
      <c r="U67" s="52"/>
      <c r="V67" s="52"/>
      <c r="W67" s="52"/>
      <c r="X67" s="55"/>
      <c r="Y67" s="55"/>
      <c r="Z67" s="55"/>
      <c r="AA67" s="55"/>
      <c r="AB67" s="52"/>
      <c r="AC67" s="413"/>
      <c r="AD67" s="413"/>
      <c r="AE67" s="83"/>
      <c r="AF67" s="596"/>
    </row>
    <row r="68" spans="1:32" ht="18">
      <c r="A68" s="85" t="s">
        <v>242</v>
      </c>
      <c r="B68" s="84"/>
      <c r="C68" s="84"/>
      <c r="D68" s="84"/>
      <c r="E68" s="84"/>
      <c r="F68" s="84"/>
      <c r="G68" s="84"/>
      <c r="H68" s="84"/>
      <c r="I68" s="84"/>
      <c r="J68" s="84">
        <v>55</v>
      </c>
      <c r="K68" s="84">
        <v>55</v>
      </c>
      <c r="L68" s="84">
        <v>55</v>
      </c>
      <c r="M68" s="84">
        <v>55</v>
      </c>
      <c r="N68" s="84">
        <v>55</v>
      </c>
      <c r="O68" s="84">
        <v>0</v>
      </c>
      <c r="P68" s="418">
        <v>0</v>
      </c>
      <c r="Q68" s="872"/>
      <c r="R68" s="417"/>
      <c r="S68" s="52"/>
      <c r="T68" s="52"/>
      <c r="U68" s="52"/>
      <c r="V68" s="52"/>
      <c r="W68" s="52"/>
      <c r="X68" s="55"/>
      <c r="Y68" s="55"/>
      <c r="Z68" s="55"/>
      <c r="AA68" s="55"/>
      <c r="AB68" s="52"/>
      <c r="AC68" s="413"/>
      <c r="AD68" s="413"/>
      <c r="AE68" s="83"/>
      <c r="AF68" s="596"/>
    </row>
    <row r="69" spans="1:32" ht="18">
      <c r="A69" s="85" t="s">
        <v>243</v>
      </c>
      <c r="B69" s="84"/>
      <c r="C69" s="84"/>
      <c r="D69" s="84"/>
      <c r="E69" s="84"/>
      <c r="F69" s="84"/>
      <c r="G69" s="84"/>
      <c r="H69" s="84"/>
      <c r="I69" s="84"/>
      <c r="J69" s="84">
        <v>87</v>
      </c>
      <c r="K69" s="84">
        <v>87</v>
      </c>
      <c r="L69" s="84">
        <v>87</v>
      </c>
      <c r="M69" s="84">
        <v>87</v>
      </c>
      <c r="N69" s="84">
        <v>87</v>
      </c>
      <c r="O69" s="84">
        <v>0</v>
      </c>
      <c r="P69" s="418">
        <v>0</v>
      </c>
      <c r="Q69" s="872"/>
      <c r="R69" s="417"/>
      <c r="S69" s="52"/>
      <c r="T69" s="52"/>
      <c r="U69" s="52"/>
      <c r="V69" s="52"/>
      <c r="W69" s="52"/>
      <c r="X69" s="55"/>
      <c r="Y69" s="55"/>
      <c r="Z69" s="55"/>
      <c r="AA69" s="55"/>
      <c r="AB69" s="52"/>
      <c r="AC69" s="413"/>
      <c r="AD69" s="413"/>
      <c r="AE69" s="83"/>
      <c r="AF69" s="596"/>
    </row>
    <row r="70" spans="1:32" ht="18">
      <c r="A70" s="85" t="s">
        <v>499</v>
      </c>
      <c r="B70" s="84"/>
      <c r="C70" s="84"/>
      <c r="D70" s="84"/>
      <c r="E70" s="84"/>
      <c r="F70" s="84"/>
      <c r="G70" s="84"/>
      <c r="H70" s="84"/>
      <c r="I70" s="84"/>
      <c r="J70" s="84">
        <v>244</v>
      </c>
      <c r="K70" s="84">
        <v>244</v>
      </c>
      <c r="L70" s="84">
        <v>244</v>
      </c>
      <c r="M70" s="84">
        <v>244</v>
      </c>
      <c r="N70" s="84">
        <v>244</v>
      </c>
      <c r="O70" s="84">
        <v>0</v>
      </c>
      <c r="P70" s="418">
        <v>0</v>
      </c>
      <c r="Q70" s="872"/>
      <c r="R70" s="417"/>
      <c r="S70" s="52"/>
      <c r="T70" s="52"/>
      <c r="U70" s="52"/>
      <c r="V70" s="52"/>
      <c r="W70" s="52"/>
      <c r="X70" s="55"/>
      <c r="Y70" s="55"/>
      <c r="Z70" s="55"/>
      <c r="AA70" s="55"/>
      <c r="AB70" s="52"/>
      <c r="AC70" s="413"/>
      <c r="AD70" s="413"/>
      <c r="AE70" s="83"/>
      <c r="AF70" s="596"/>
    </row>
    <row r="71" spans="1:32" ht="39" customHeight="1">
      <c r="A71" s="85" t="s">
        <v>250</v>
      </c>
      <c r="B71" s="84">
        <v>109785</v>
      </c>
      <c r="C71" s="84">
        <f>109785+8150-3145</f>
        <v>114790</v>
      </c>
      <c r="D71" s="84">
        <f>109785+8150-3145</f>
        <v>114790</v>
      </c>
      <c r="E71" s="84">
        <f>109785+8150-3145</f>
        <v>114790</v>
      </c>
      <c r="F71" s="84">
        <f>109785+8150-3145+3999</f>
        <v>118789</v>
      </c>
      <c r="G71" s="84">
        <v>125725</v>
      </c>
      <c r="H71" s="418">
        <v>125725</v>
      </c>
      <c r="I71" s="872">
        <f>F71/E71</f>
        <v>1.0348375294015157</v>
      </c>
      <c r="J71" s="84"/>
      <c r="K71" s="84"/>
      <c r="L71" s="84"/>
      <c r="M71" s="84"/>
      <c r="N71" s="84"/>
      <c r="O71" s="84"/>
      <c r="P71" s="418"/>
      <c r="Q71" s="418"/>
      <c r="R71" s="417"/>
      <c r="S71" s="52"/>
      <c r="T71" s="52"/>
      <c r="U71" s="52"/>
      <c r="V71" s="52"/>
      <c r="W71" s="52"/>
      <c r="X71" s="55"/>
      <c r="Y71" s="55"/>
      <c r="Z71" s="55"/>
      <c r="AA71" s="55"/>
      <c r="AB71" s="52"/>
      <c r="AC71" s="413"/>
      <c r="AD71" s="413"/>
      <c r="AE71" s="83"/>
      <c r="AF71" s="596"/>
    </row>
    <row r="72" spans="1:32" ht="18">
      <c r="A72" s="85" t="s">
        <v>260</v>
      </c>
      <c r="B72" s="84"/>
      <c r="C72" s="84"/>
      <c r="D72" s="84"/>
      <c r="E72" s="84"/>
      <c r="F72" s="84"/>
      <c r="G72" s="84"/>
      <c r="H72" s="84"/>
      <c r="I72" s="84"/>
      <c r="J72" s="84">
        <v>12</v>
      </c>
      <c r="K72" s="84">
        <v>12</v>
      </c>
      <c r="L72" s="84">
        <v>12</v>
      </c>
      <c r="M72" s="84">
        <v>12</v>
      </c>
      <c r="N72" s="84">
        <v>12</v>
      </c>
      <c r="O72" s="84">
        <v>0</v>
      </c>
      <c r="P72" s="418">
        <v>0</v>
      </c>
      <c r="Q72" s="418"/>
      <c r="R72" s="417"/>
      <c r="S72" s="52"/>
      <c r="T72" s="52"/>
      <c r="U72" s="52"/>
      <c r="V72" s="52"/>
      <c r="W72" s="52"/>
      <c r="X72" s="55"/>
      <c r="Y72" s="55"/>
      <c r="Z72" s="55"/>
      <c r="AA72" s="55"/>
      <c r="AB72" s="52"/>
      <c r="AC72" s="413"/>
      <c r="AD72" s="413"/>
      <c r="AE72" s="83"/>
      <c r="AF72" s="596"/>
    </row>
    <row r="73" spans="1:32" ht="18" hidden="1">
      <c r="A73" s="85" t="s">
        <v>261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418"/>
      <c r="Q73" s="418"/>
      <c r="R73" s="417"/>
      <c r="S73" s="52"/>
      <c r="T73" s="52"/>
      <c r="U73" s="52"/>
      <c r="V73" s="52"/>
      <c r="W73" s="52"/>
      <c r="X73" s="55"/>
      <c r="Y73" s="55"/>
      <c r="Z73" s="55"/>
      <c r="AA73" s="55"/>
      <c r="AB73" s="52"/>
      <c r="AC73" s="413"/>
      <c r="AD73" s="413"/>
      <c r="AE73" s="83"/>
      <c r="AF73" s="596"/>
    </row>
    <row r="74" spans="1:32" ht="47.25" customHeight="1" hidden="1">
      <c r="A74" s="85" t="s">
        <v>262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418"/>
      <c r="Q74" s="418"/>
      <c r="R74" s="417"/>
      <c r="S74" s="52"/>
      <c r="T74" s="52"/>
      <c r="U74" s="52"/>
      <c r="V74" s="52"/>
      <c r="W74" s="52"/>
      <c r="X74" s="55"/>
      <c r="Y74" s="55"/>
      <c r="Z74" s="55"/>
      <c r="AA74" s="55"/>
      <c r="AB74" s="52"/>
      <c r="AC74" s="413"/>
      <c r="AD74" s="413"/>
      <c r="AE74" s="83"/>
      <c r="AF74" s="596"/>
    </row>
    <row r="75" spans="1:32" ht="39" customHeight="1" hidden="1">
      <c r="A75" s="260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418"/>
      <c r="Q75" s="418"/>
      <c r="R75" s="417"/>
      <c r="S75" s="52"/>
      <c r="T75" s="52"/>
      <c r="U75" s="52"/>
      <c r="V75" s="52"/>
      <c r="W75" s="52"/>
      <c r="X75" s="55"/>
      <c r="Y75" s="55"/>
      <c r="Z75" s="55"/>
      <c r="AA75" s="55"/>
      <c r="AB75" s="52"/>
      <c r="AC75" s="413"/>
      <c r="AD75" s="413"/>
      <c r="AE75" s="83"/>
      <c r="AF75" s="596"/>
    </row>
    <row r="76" spans="1:32" ht="39" customHeight="1" hidden="1">
      <c r="A76" s="260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418"/>
      <c r="Q76" s="418"/>
      <c r="R76" s="417"/>
      <c r="S76" s="52"/>
      <c r="T76" s="52"/>
      <c r="U76" s="52"/>
      <c r="V76" s="52"/>
      <c r="W76" s="52"/>
      <c r="X76" s="55"/>
      <c r="Y76" s="55"/>
      <c r="Z76" s="55"/>
      <c r="AA76" s="55"/>
      <c r="AB76" s="52"/>
      <c r="AC76" s="413"/>
      <c r="AD76" s="413"/>
      <c r="AE76" s="83"/>
      <c r="AF76" s="596"/>
    </row>
    <row r="77" spans="1:32" ht="39" customHeight="1" hidden="1">
      <c r="A77" s="260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418"/>
      <c r="Q77" s="418"/>
      <c r="R77" s="417"/>
      <c r="S77" s="52"/>
      <c r="T77" s="52"/>
      <c r="U77" s="52"/>
      <c r="V77" s="52"/>
      <c r="W77" s="52"/>
      <c r="X77" s="55"/>
      <c r="Y77" s="55"/>
      <c r="Z77" s="55"/>
      <c r="AA77" s="55"/>
      <c r="AB77" s="52"/>
      <c r="AC77" s="413"/>
      <c r="AD77" s="413"/>
      <c r="AE77" s="83"/>
      <c r="AF77" s="596"/>
    </row>
    <row r="78" spans="1:32" ht="39" customHeight="1" hidden="1">
      <c r="A78" s="260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418"/>
      <c r="Q78" s="418"/>
      <c r="R78" s="417"/>
      <c r="S78" s="52"/>
      <c r="T78" s="52"/>
      <c r="U78" s="52"/>
      <c r="V78" s="52"/>
      <c r="W78" s="52"/>
      <c r="X78" s="55"/>
      <c r="Y78" s="55"/>
      <c r="Z78" s="55"/>
      <c r="AA78" s="55"/>
      <c r="AB78" s="52"/>
      <c r="AC78" s="413"/>
      <c r="AD78" s="413"/>
      <c r="AE78" s="83"/>
      <c r="AF78" s="596"/>
    </row>
    <row r="79" spans="1:32" ht="39" customHeight="1" hidden="1">
      <c r="A79" s="260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418"/>
      <c r="Q79" s="418"/>
      <c r="R79" s="417"/>
      <c r="S79" s="52"/>
      <c r="T79" s="52"/>
      <c r="U79" s="52"/>
      <c r="V79" s="52"/>
      <c r="W79" s="52"/>
      <c r="X79" s="55"/>
      <c r="Y79" s="55"/>
      <c r="Z79" s="55"/>
      <c r="AA79" s="55"/>
      <c r="AB79" s="52"/>
      <c r="AC79" s="413"/>
      <c r="AD79" s="413"/>
      <c r="AE79" s="83"/>
      <c r="AF79" s="596"/>
    </row>
    <row r="80" spans="1:32" ht="39" customHeight="1" hidden="1">
      <c r="A80" s="260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418"/>
      <c r="Q80" s="418"/>
      <c r="R80" s="417"/>
      <c r="S80" s="52"/>
      <c r="T80" s="52"/>
      <c r="U80" s="52"/>
      <c r="V80" s="52"/>
      <c r="W80" s="52"/>
      <c r="X80" s="55"/>
      <c r="Y80" s="55"/>
      <c r="Z80" s="55"/>
      <c r="AA80" s="55"/>
      <c r="AB80" s="52"/>
      <c r="AC80" s="413"/>
      <c r="AD80" s="413"/>
      <c r="AE80" s="83"/>
      <c r="AF80" s="596"/>
    </row>
    <row r="81" spans="1:32" s="15" customFormat="1" ht="27" customHeight="1" thickBot="1">
      <c r="A81" s="51" t="s">
        <v>1</v>
      </c>
      <c r="B81" s="57">
        <f aca="true" t="shared" si="2" ref="B81:H81">SUM(B61:B75)</f>
        <v>110460</v>
      </c>
      <c r="C81" s="57">
        <f t="shared" si="2"/>
        <v>115465</v>
      </c>
      <c r="D81" s="57">
        <f t="shared" si="2"/>
        <v>115465</v>
      </c>
      <c r="E81" s="57">
        <f t="shared" si="2"/>
        <v>115465</v>
      </c>
      <c r="F81" s="57">
        <f t="shared" si="2"/>
        <v>119464</v>
      </c>
      <c r="G81" s="57">
        <f t="shared" si="2"/>
        <v>126078</v>
      </c>
      <c r="H81" s="57">
        <f t="shared" si="2"/>
        <v>126078</v>
      </c>
      <c r="I81" s="877">
        <f>H81/G81</f>
        <v>1</v>
      </c>
      <c r="J81" s="876">
        <f aca="true" t="shared" si="3" ref="J81:X81">SUM(J61:J75)</f>
        <v>1259</v>
      </c>
      <c r="K81" s="876">
        <f aca="true" t="shared" si="4" ref="K81:P81">SUM(K61:K75)</f>
        <v>1259</v>
      </c>
      <c r="L81" s="876">
        <f t="shared" si="4"/>
        <v>1259</v>
      </c>
      <c r="M81" s="876">
        <f t="shared" si="4"/>
        <v>1259</v>
      </c>
      <c r="N81" s="876">
        <f t="shared" si="4"/>
        <v>1259</v>
      </c>
      <c r="O81" s="876">
        <f t="shared" si="4"/>
        <v>505</v>
      </c>
      <c r="P81" s="876">
        <f t="shared" si="4"/>
        <v>505</v>
      </c>
      <c r="Q81" s="877">
        <f>P81/O81</f>
        <v>1</v>
      </c>
      <c r="R81" s="875">
        <f t="shared" si="3"/>
        <v>0</v>
      </c>
      <c r="S81" s="57">
        <f t="shared" si="3"/>
        <v>0</v>
      </c>
      <c r="T81" s="57">
        <f t="shared" si="3"/>
        <v>0</v>
      </c>
      <c r="U81" s="57">
        <f t="shared" si="3"/>
        <v>0</v>
      </c>
      <c r="V81" s="57">
        <f t="shared" si="3"/>
        <v>0</v>
      </c>
      <c r="W81" s="57"/>
      <c r="X81" s="57">
        <f t="shared" si="3"/>
        <v>0</v>
      </c>
      <c r="Y81" s="57"/>
      <c r="Z81" s="57"/>
      <c r="AA81" s="57"/>
      <c r="AB81" s="57"/>
      <c r="AC81" s="980"/>
      <c r="AD81" s="980"/>
      <c r="AE81" s="283"/>
      <c r="AF81" s="596"/>
    </row>
    <row r="82" spans="10:24" ht="15">
      <c r="J82" s="305"/>
      <c r="X82" s="305"/>
    </row>
    <row r="84" spans="5:16" ht="15">
      <c r="E84" s="411"/>
      <c r="F84" s="411"/>
      <c r="G84" s="411"/>
      <c r="H84" s="411"/>
      <c r="O84" s="989"/>
      <c r="P84" s="989"/>
    </row>
    <row r="85" ht="12.75">
      <c r="A85" s="331"/>
    </row>
  </sheetData>
  <sheetProtection/>
  <mergeCells count="19">
    <mergeCell ref="R1:X1"/>
    <mergeCell ref="A2:X2"/>
    <mergeCell ref="A3:X3"/>
    <mergeCell ref="A4:X4"/>
    <mergeCell ref="A6:A7"/>
    <mergeCell ref="B6:Q6"/>
    <mergeCell ref="R6:AE6"/>
    <mergeCell ref="B7:I7"/>
    <mergeCell ref="J7:Q7"/>
    <mergeCell ref="R7:V7"/>
    <mergeCell ref="X7:AE7"/>
    <mergeCell ref="A56:X56"/>
    <mergeCell ref="A58:A59"/>
    <mergeCell ref="B58:Q58"/>
    <mergeCell ref="R58:AE58"/>
    <mergeCell ref="B59:I59"/>
    <mergeCell ref="J59:Q59"/>
    <mergeCell ref="R59:V59"/>
    <mergeCell ref="X59:AE59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44" r:id="rId1"/>
  <headerFooter alignWithMargins="0">
    <oddFooter>&amp;R
</oddFooter>
  </headerFooter>
  <colBreaks count="1" manualBreakCount="1">
    <brk id="32" max="2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AM18"/>
  <sheetViews>
    <sheetView zoomScalePageLayoutView="0" workbookViewId="0" topLeftCell="B1">
      <selection activeCell="AL11" sqref="AL11"/>
    </sheetView>
  </sheetViews>
  <sheetFormatPr defaultColWidth="9.140625" defaultRowHeight="12.75"/>
  <cols>
    <col min="1" max="1" width="48.28125" style="42" customWidth="1"/>
    <col min="2" max="3" width="14.8515625" style="22" customWidth="1"/>
    <col min="4" max="4" width="20.57421875" style="22" customWidth="1"/>
    <col min="5" max="5" width="14.8515625" style="22" customWidth="1"/>
    <col min="6" max="7" width="14.8515625" style="22" hidden="1" customWidth="1"/>
    <col min="8" max="8" width="20.421875" style="22" hidden="1" customWidth="1"/>
    <col min="9" max="9" width="14.8515625" style="22" hidden="1" customWidth="1"/>
    <col min="10" max="10" width="18.421875" style="22" hidden="1" customWidth="1"/>
    <col min="11" max="11" width="9.28125" style="22" hidden="1" customWidth="1"/>
    <col min="12" max="13" width="10.57421875" style="22" hidden="1" customWidth="1"/>
    <col min="14" max="14" width="14.7109375" style="22" hidden="1" customWidth="1"/>
    <col min="15" max="17" width="10.421875" style="22" hidden="1" customWidth="1"/>
    <col min="18" max="18" width="14.57421875" style="22" hidden="1" customWidth="1"/>
    <col min="19" max="19" width="11.00390625" style="22" hidden="1" customWidth="1"/>
    <col min="20" max="21" width="10.421875" style="22" hidden="1" customWidth="1"/>
    <col min="22" max="23" width="9.28125" style="22" hidden="1" customWidth="1"/>
    <col min="24" max="25" width="17.421875" style="22" hidden="1" customWidth="1"/>
    <col min="26" max="26" width="19.421875" style="22" hidden="1" customWidth="1"/>
    <col min="27" max="31" width="0" style="22" hidden="1" customWidth="1"/>
    <col min="32" max="32" width="12.57421875" style="22" customWidth="1"/>
    <col min="33" max="34" width="17.140625" style="22" customWidth="1"/>
    <col min="35" max="35" width="13.8515625" style="22" customWidth="1"/>
    <col min="36" max="16384" width="9.140625" style="22" customWidth="1"/>
  </cols>
  <sheetData>
    <row r="2" spans="4:9" ht="12.75">
      <c r="D2" s="1272" t="s">
        <v>210</v>
      </c>
      <c r="E2" s="1272"/>
      <c r="F2" s="392"/>
      <c r="G2" s="392"/>
      <c r="H2" s="392"/>
      <c r="I2" s="392"/>
    </row>
    <row r="4" spans="1:9" ht="19.5">
      <c r="A4" s="1276" t="s">
        <v>482</v>
      </c>
      <c r="B4" s="1276"/>
      <c r="C4" s="1276"/>
      <c r="D4" s="1276"/>
      <c r="E4" s="1276"/>
      <c r="F4" s="393"/>
      <c r="G4" s="393"/>
      <c r="H4" s="393"/>
      <c r="I4" s="393"/>
    </row>
    <row r="5" spans="1:9" ht="19.5">
      <c r="A5" s="393"/>
      <c r="B5" s="393"/>
      <c r="C5" s="393"/>
      <c r="D5" s="393"/>
      <c r="E5" s="393"/>
      <c r="F5" s="393"/>
      <c r="G5" s="393"/>
      <c r="H5" s="393"/>
      <c r="I5" s="393"/>
    </row>
    <row r="6" spans="2:11" ht="20.25" customHeight="1" thickBot="1">
      <c r="B6" s="1277" t="s">
        <v>5</v>
      </c>
      <c r="C6" s="1277"/>
      <c r="D6" s="1277"/>
      <c r="E6" s="1277"/>
      <c r="F6" s="1277"/>
      <c r="G6" s="1277"/>
      <c r="H6" s="1277"/>
      <c r="I6" s="1277"/>
      <c r="J6" s="1285" t="s">
        <v>254</v>
      </c>
      <c r="K6" s="1285"/>
    </row>
    <row r="7" spans="1:39" ht="36.75" customHeight="1">
      <c r="A7" s="1286" t="s">
        <v>4</v>
      </c>
      <c r="B7" s="1273" t="s">
        <v>483</v>
      </c>
      <c r="C7" s="1274"/>
      <c r="D7" s="1274"/>
      <c r="E7" s="1275"/>
      <c r="F7" s="1278" t="s">
        <v>270</v>
      </c>
      <c r="G7" s="1274"/>
      <c r="H7" s="1274"/>
      <c r="I7" s="1275"/>
      <c r="J7" s="1288" t="s">
        <v>259</v>
      </c>
      <c r="K7" s="1289"/>
      <c r="L7" s="1273" t="s">
        <v>484</v>
      </c>
      <c r="M7" s="1274"/>
      <c r="N7" s="1274"/>
      <c r="O7" s="1275"/>
      <c r="P7" s="1273" t="s">
        <v>254</v>
      </c>
      <c r="Q7" s="1274"/>
      <c r="R7" s="1274"/>
      <c r="S7" s="1275"/>
      <c r="T7" s="1273" t="s">
        <v>481</v>
      </c>
      <c r="U7" s="1274"/>
      <c r="V7" s="1274"/>
      <c r="W7" s="1275"/>
      <c r="X7" s="1273" t="s">
        <v>528</v>
      </c>
      <c r="Y7" s="1274"/>
      <c r="Z7" s="1274"/>
      <c r="AA7" s="1275"/>
      <c r="AB7" s="1273" t="s">
        <v>529</v>
      </c>
      <c r="AC7" s="1274"/>
      <c r="AD7" s="1274"/>
      <c r="AE7" s="1275"/>
      <c r="AF7" s="1273" t="s">
        <v>543</v>
      </c>
      <c r="AG7" s="1274"/>
      <c r="AH7" s="1274"/>
      <c r="AI7" s="1275"/>
      <c r="AJ7" s="1273" t="s">
        <v>563</v>
      </c>
      <c r="AK7" s="1274"/>
      <c r="AL7" s="1274"/>
      <c r="AM7" s="1275"/>
    </row>
    <row r="8" spans="1:39" ht="41.25" customHeight="1" thickBot="1">
      <c r="A8" s="1287"/>
      <c r="B8" s="27" t="s">
        <v>32</v>
      </c>
      <c r="C8" s="27" t="s">
        <v>217</v>
      </c>
      <c r="D8" s="27" t="s">
        <v>218</v>
      </c>
      <c r="E8" s="28" t="s">
        <v>1</v>
      </c>
      <c r="F8" s="571" t="s">
        <v>32</v>
      </c>
      <c r="G8" s="27" t="s">
        <v>217</v>
      </c>
      <c r="H8" s="27" t="s">
        <v>218</v>
      </c>
      <c r="I8" s="28" t="s">
        <v>1</v>
      </c>
      <c r="J8" s="405" t="s">
        <v>254</v>
      </c>
      <c r="K8" s="406" t="s">
        <v>255</v>
      </c>
      <c r="L8" s="27" t="s">
        <v>32</v>
      </c>
      <c r="M8" s="27" t="s">
        <v>217</v>
      </c>
      <c r="N8" s="27" t="s">
        <v>218</v>
      </c>
      <c r="O8" s="28" t="s">
        <v>1</v>
      </c>
      <c r="P8" s="27" t="s">
        <v>32</v>
      </c>
      <c r="Q8" s="27" t="s">
        <v>217</v>
      </c>
      <c r="R8" s="27" t="s">
        <v>218</v>
      </c>
      <c r="S8" s="28" t="s">
        <v>1</v>
      </c>
      <c r="T8" s="27" t="s">
        <v>32</v>
      </c>
      <c r="U8" s="27" t="s">
        <v>217</v>
      </c>
      <c r="V8" s="27" t="s">
        <v>218</v>
      </c>
      <c r="W8" s="28" t="s">
        <v>1</v>
      </c>
      <c r="X8" s="27" t="s">
        <v>32</v>
      </c>
      <c r="Y8" s="27" t="s">
        <v>217</v>
      </c>
      <c r="Z8" s="27" t="s">
        <v>218</v>
      </c>
      <c r="AA8" s="28" t="s">
        <v>1</v>
      </c>
      <c r="AB8" s="27" t="s">
        <v>32</v>
      </c>
      <c r="AC8" s="27" t="s">
        <v>217</v>
      </c>
      <c r="AD8" s="27" t="s">
        <v>218</v>
      </c>
      <c r="AE8" s="28" t="s">
        <v>1</v>
      </c>
      <c r="AF8" s="27" t="s">
        <v>32</v>
      </c>
      <c r="AG8" s="27" t="s">
        <v>217</v>
      </c>
      <c r="AH8" s="27" t="s">
        <v>218</v>
      </c>
      <c r="AI8" s="28" t="s">
        <v>1</v>
      </c>
      <c r="AJ8" s="27" t="s">
        <v>32</v>
      </c>
      <c r="AK8" s="27" t="s">
        <v>217</v>
      </c>
      <c r="AL8" s="27" t="s">
        <v>218</v>
      </c>
      <c r="AM8" s="28" t="s">
        <v>1</v>
      </c>
    </row>
    <row r="9" spans="1:39" ht="30" customHeight="1">
      <c r="A9" s="23" t="s">
        <v>226</v>
      </c>
      <c r="B9" s="144">
        <v>19</v>
      </c>
      <c r="C9" s="144">
        <v>1.75</v>
      </c>
      <c r="D9" s="145">
        <v>2</v>
      </c>
      <c r="E9" s="308">
        <f>SUM(B9:C9)</f>
        <v>20.75</v>
      </c>
      <c r="F9" s="572"/>
      <c r="G9" s="144"/>
      <c r="H9" s="145"/>
      <c r="I9" s="307"/>
      <c r="J9" s="403"/>
      <c r="K9" s="404">
        <f>J9/E9</f>
        <v>0</v>
      </c>
      <c r="L9" s="144"/>
      <c r="M9" s="144"/>
      <c r="N9" s="145"/>
      <c r="O9" s="308"/>
      <c r="P9" s="144">
        <v>19</v>
      </c>
      <c r="Q9" s="144">
        <v>1.75</v>
      </c>
      <c r="R9" s="145">
        <v>2</v>
      </c>
      <c r="S9" s="308">
        <f>SUM(P9:Q9)</f>
        <v>20.75</v>
      </c>
      <c r="T9" s="144"/>
      <c r="U9" s="144"/>
      <c r="V9" s="145"/>
      <c r="W9" s="308">
        <f>SUM(T9:U9)</f>
        <v>0</v>
      </c>
      <c r="X9" s="144">
        <v>18</v>
      </c>
      <c r="Y9" s="144">
        <v>1</v>
      </c>
      <c r="Z9" s="145">
        <v>2</v>
      </c>
      <c r="AA9" s="308">
        <f>SUM(X9:Y9)</f>
        <v>19</v>
      </c>
      <c r="AB9" s="144">
        <v>18</v>
      </c>
      <c r="AC9" s="144">
        <v>1</v>
      </c>
      <c r="AD9" s="145">
        <v>2</v>
      </c>
      <c r="AE9" s="308">
        <f>SUM(AB9:AC9)</f>
        <v>19</v>
      </c>
      <c r="AF9" s="144">
        <v>17</v>
      </c>
      <c r="AG9" s="144">
        <v>1</v>
      </c>
      <c r="AH9" s="145">
        <v>2</v>
      </c>
      <c r="AI9" s="308">
        <f>SUM(AF9:AG9)</f>
        <v>18</v>
      </c>
      <c r="AJ9" s="144">
        <v>17</v>
      </c>
      <c r="AK9" s="144">
        <v>1</v>
      </c>
      <c r="AL9" s="145">
        <v>2</v>
      </c>
      <c r="AM9" s="308">
        <f>SUM(AJ9:AK9)</f>
        <v>18</v>
      </c>
    </row>
    <row r="10" spans="1:39" ht="30" customHeight="1">
      <c r="A10" s="23" t="s">
        <v>227</v>
      </c>
      <c r="B10" s="144">
        <v>3</v>
      </c>
      <c r="C10" s="144">
        <v>4.5</v>
      </c>
      <c r="D10" s="144">
        <v>0</v>
      </c>
      <c r="E10" s="308">
        <f>SUM(B10:C10)</f>
        <v>7.5</v>
      </c>
      <c r="F10" s="572"/>
      <c r="G10" s="144"/>
      <c r="H10" s="144"/>
      <c r="I10" s="308"/>
      <c r="J10" s="401"/>
      <c r="K10" s="402">
        <f>J10/E10</f>
        <v>0</v>
      </c>
      <c r="L10" s="144"/>
      <c r="M10" s="144"/>
      <c r="N10" s="144"/>
      <c r="O10" s="308"/>
      <c r="P10" s="144">
        <v>3</v>
      </c>
      <c r="Q10" s="144">
        <v>6.5</v>
      </c>
      <c r="R10" s="144">
        <v>0</v>
      </c>
      <c r="S10" s="308">
        <f>SUM(P10:Q10)</f>
        <v>9.5</v>
      </c>
      <c r="T10" s="144"/>
      <c r="U10" s="144"/>
      <c r="V10" s="144"/>
      <c r="W10" s="308">
        <f>SUM(T10:U10)</f>
        <v>0</v>
      </c>
      <c r="X10" s="144">
        <v>3</v>
      </c>
      <c r="Y10" s="144">
        <v>4.5</v>
      </c>
      <c r="Z10" s="144">
        <v>0</v>
      </c>
      <c r="AA10" s="308">
        <f>SUM(X10:Y10)</f>
        <v>7.5</v>
      </c>
      <c r="AB10" s="144">
        <v>3</v>
      </c>
      <c r="AC10" s="144">
        <v>4.5</v>
      </c>
      <c r="AD10" s="144">
        <v>0</v>
      </c>
      <c r="AE10" s="308">
        <f>SUM(AB10:AC10)</f>
        <v>7.5</v>
      </c>
      <c r="AF10" s="144">
        <v>3</v>
      </c>
      <c r="AG10" s="144">
        <v>4.5</v>
      </c>
      <c r="AH10" s="144">
        <v>0</v>
      </c>
      <c r="AI10" s="308">
        <f>SUM(AF10:AG10)</f>
        <v>7.5</v>
      </c>
      <c r="AJ10" s="144">
        <v>3</v>
      </c>
      <c r="AK10" s="144">
        <v>4.5</v>
      </c>
      <c r="AL10" s="144">
        <v>0</v>
      </c>
      <c r="AM10" s="308">
        <f>SUM(AJ10:AK10)</f>
        <v>7.5</v>
      </c>
    </row>
    <row r="11" spans="1:39" ht="30" customHeight="1" thickBot="1">
      <c r="A11" s="143" t="s">
        <v>228</v>
      </c>
      <c r="B11" s="146">
        <v>15</v>
      </c>
      <c r="C11" s="146">
        <v>10</v>
      </c>
      <c r="D11" s="146">
        <v>3</v>
      </c>
      <c r="E11" s="309">
        <f>SUM(B11:C11)</f>
        <v>25</v>
      </c>
      <c r="F11" s="573"/>
      <c r="G11" s="146"/>
      <c r="H11" s="146"/>
      <c r="I11" s="309"/>
      <c r="J11" s="407"/>
      <c r="K11" s="408">
        <f>J11/E11</f>
        <v>0</v>
      </c>
      <c r="L11" s="146"/>
      <c r="M11" s="146"/>
      <c r="N11" s="146"/>
      <c r="O11" s="308"/>
      <c r="P11" s="146">
        <v>15</v>
      </c>
      <c r="Q11" s="146">
        <v>12</v>
      </c>
      <c r="R11" s="146">
        <v>3</v>
      </c>
      <c r="S11" s="308">
        <f>SUM(P11:Q11)</f>
        <v>27</v>
      </c>
      <c r="T11" s="146"/>
      <c r="U11" s="146"/>
      <c r="V11" s="146"/>
      <c r="W11" s="308">
        <f>SUM(T11:U11)</f>
        <v>0</v>
      </c>
      <c r="X11" s="146">
        <v>14</v>
      </c>
      <c r="Y11" s="146">
        <v>8</v>
      </c>
      <c r="Z11" s="146">
        <v>3</v>
      </c>
      <c r="AA11" s="308">
        <f>SUM(X11:Y11)</f>
        <v>22</v>
      </c>
      <c r="AB11" s="146">
        <v>15</v>
      </c>
      <c r="AC11" s="146">
        <v>10</v>
      </c>
      <c r="AD11" s="146">
        <v>3</v>
      </c>
      <c r="AE11" s="308">
        <f>SUM(AB11:AC11)</f>
        <v>25</v>
      </c>
      <c r="AF11" s="146">
        <v>15</v>
      </c>
      <c r="AG11" s="146">
        <v>8</v>
      </c>
      <c r="AH11" s="146">
        <v>3</v>
      </c>
      <c r="AI11" s="309">
        <f>SUM(AF11:AG11)</f>
        <v>23</v>
      </c>
      <c r="AJ11" s="146">
        <v>15</v>
      </c>
      <c r="AK11" s="146">
        <v>8</v>
      </c>
      <c r="AL11" s="146">
        <v>3</v>
      </c>
      <c r="AM11" s="309">
        <f>SUM(AJ11:AK11)</f>
        <v>23</v>
      </c>
    </row>
    <row r="12" spans="1:39" ht="54.75" customHeight="1" thickBot="1">
      <c r="A12" s="142" t="s">
        <v>28</v>
      </c>
      <c r="B12" s="265">
        <f aca="true" t="shared" si="0" ref="B12:J12">SUM(B9:B11)</f>
        <v>37</v>
      </c>
      <c r="C12" s="265">
        <f t="shared" si="0"/>
        <v>16.25</v>
      </c>
      <c r="D12" s="265">
        <f t="shared" si="0"/>
        <v>5</v>
      </c>
      <c r="E12" s="1386">
        <f t="shared" si="0"/>
        <v>53.25</v>
      </c>
      <c r="F12" s="574">
        <f t="shared" si="0"/>
        <v>0</v>
      </c>
      <c r="G12" s="265">
        <f t="shared" si="0"/>
        <v>0</v>
      </c>
      <c r="H12" s="265">
        <f t="shared" si="0"/>
        <v>0</v>
      </c>
      <c r="I12" s="310">
        <f t="shared" si="0"/>
        <v>0</v>
      </c>
      <c r="J12" s="409">
        <f t="shared" si="0"/>
        <v>0</v>
      </c>
      <c r="K12" s="410">
        <f>J12/E12</f>
        <v>0</v>
      </c>
      <c r="L12" s="265">
        <f aca="true" t="shared" si="1" ref="L12:AA12">SUM(L9:L11)</f>
        <v>0</v>
      </c>
      <c r="M12" s="265">
        <f t="shared" si="1"/>
        <v>0</v>
      </c>
      <c r="N12" s="265">
        <f t="shared" si="1"/>
        <v>0</v>
      </c>
      <c r="O12" s="310">
        <f t="shared" si="1"/>
        <v>0</v>
      </c>
      <c r="P12" s="265">
        <f t="shared" si="1"/>
        <v>37</v>
      </c>
      <c r="Q12" s="265">
        <f t="shared" si="1"/>
        <v>20.25</v>
      </c>
      <c r="R12" s="265">
        <f t="shared" si="1"/>
        <v>5</v>
      </c>
      <c r="S12" s="310">
        <f t="shared" si="1"/>
        <v>57.25</v>
      </c>
      <c r="T12" s="265">
        <f t="shared" si="1"/>
        <v>0</v>
      </c>
      <c r="U12" s="265">
        <f t="shared" si="1"/>
        <v>0</v>
      </c>
      <c r="V12" s="265">
        <f t="shared" si="1"/>
        <v>0</v>
      </c>
      <c r="W12" s="310">
        <f t="shared" si="1"/>
        <v>0</v>
      </c>
      <c r="X12" s="265">
        <f t="shared" si="1"/>
        <v>35</v>
      </c>
      <c r="Y12" s="265">
        <f t="shared" si="1"/>
        <v>13.5</v>
      </c>
      <c r="Z12" s="265">
        <f t="shared" si="1"/>
        <v>5</v>
      </c>
      <c r="AA12" s="310">
        <f t="shared" si="1"/>
        <v>48.5</v>
      </c>
      <c r="AB12" s="265">
        <f aca="true" t="shared" si="2" ref="AB12:AI12">SUM(AB9:AB11)</f>
        <v>36</v>
      </c>
      <c r="AC12" s="265">
        <f t="shared" si="2"/>
        <v>15.5</v>
      </c>
      <c r="AD12" s="265">
        <f t="shared" si="2"/>
        <v>5</v>
      </c>
      <c r="AE12" s="310">
        <f t="shared" si="2"/>
        <v>51.5</v>
      </c>
      <c r="AF12" s="265">
        <f t="shared" si="2"/>
        <v>35</v>
      </c>
      <c r="AG12" s="265">
        <f t="shared" si="2"/>
        <v>13.5</v>
      </c>
      <c r="AH12" s="265">
        <f t="shared" si="2"/>
        <v>5</v>
      </c>
      <c r="AI12" s="1386">
        <f t="shared" si="2"/>
        <v>48.5</v>
      </c>
      <c r="AJ12" s="265">
        <f>SUM(AJ9:AJ11)</f>
        <v>35</v>
      </c>
      <c r="AK12" s="265">
        <f>SUM(AK9:AK11)</f>
        <v>13.5</v>
      </c>
      <c r="AL12" s="265">
        <f>SUM(AL9:AL11)</f>
        <v>5</v>
      </c>
      <c r="AM12" s="1386">
        <f>SUM(AM9:AM11)</f>
        <v>48.5</v>
      </c>
    </row>
    <row r="13" ht="13.5" thickBot="1">
      <c r="K13" s="400"/>
    </row>
    <row r="14" spans="1:39" ht="30.75" customHeight="1" thickBot="1">
      <c r="A14" s="1279" t="s">
        <v>55</v>
      </c>
      <c r="B14" s="1280"/>
      <c r="C14" s="1280"/>
      <c r="D14" s="1281"/>
      <c r="E14" s="311">
        <v>11</v>
      </c>
      <c r="F14" s="311">
        <v>27</v>
      </c>
      <c r="G14" s="311">
        <v>27</v>
      </c>
      <c r="H14" s="311">
        <v>27</v>
      </c>
      <c r="I14" s="311">
        <v>27</v>
      </c>
      <c r="J14" s="311">
        <v>27</v>
      </c>
      <c r="K14" s="311">
        <v>27</v>
      </c>
      <c r="L14" s="1282"/>
      <c r="M14" s="1283"/>
      <c r="N14" s="1284"/>
      <c r="O14" s="311"/>
      <c r="P14" s="1282"/>
      <c r="Q14" s="1283"/>
      <c r="R14" s="1284"/>
      <c r="S14" s="311">
        <v>15</v>
      </c>
      <c r="T14" s="1282"/>
      <c r="U14" s="1283"/>
      <c r="V14" s="1284"/>
      <c r="W14" s="311"/>
      <c r="X14" s="1282"/>
      <c r="Y14" s="1283"/>
      <c r="Z14" s="1284"/>
      <c r="AA14" s="311">
        <v>11</v>
      </c>
      <c r="AB14" s="1282"/>
      <c r="AC14" s="1283"/>
      <c r="AD14" s="1284"/>
      <c r="AE14" s="311">
        <v>11</v>
      </c>
      <c r="AF14" s="1282"/>
      <c r="AG14" s="1283"/>
      <c r="AH14" s="1284"/>
      <c r="AI14" s="311">
        <v>12</v>
      </c>
      <c r="AJ14" s="1282"/>
      <c r="AK14" s="1283"/>
      <c r="AL14" s="1284"/>
      <c r="AM14" s="311">
        <v>12</v>
      </c>
    </row>
    <row r="16" ht="12.75">
      <c r="A16" s="42" t="s">
        <v>112</v>
      </c>
    </row>
    <row r="18" spans="5:9" ht="12.75">
      <c r="E18" s="306"/>
      <c r="F18" s="306"/>
      <c r="G18" s="306"/>
      <c r="H18" s="306"/>
      <c r="I18" s="306"/>
    </row>
  </sheetData>
  <sheetProtection/>
  <mergeCells count="23">
    <mergeCell ref="AJ7:AM7"/>
    <mergeCell ref="AJ14:AL14"/>
    <mergeCell ref="AF7:AI7"/>
    <mergeCell ref="AF14:AH14"/>
    <mergeCell ref="T7:W7"/>
    <mergeCell ref="T14:V14"/>
    <mergeCell ref="AB7:AE7"/>
    <mergeCell ref="P14:R14"/>
    <mergeCell ref="P7:S7"/>
    <mergeCell ref="AB14:AD14"/>
    <mergeCell ref="J6:K6"/>
    <mergeCell ref="L7:O7"/>
    <mergeCell ref="A7:A8"/>
    <mergeCell ref="J7:K7"/>
    <mergeCell ref="X7:AA7"/>
    <mergeCell ref="X14:Z14"/>
    <mergeCell ref="L14:N14"/>
    <mergeCell ref="D2:E2"/>
    <mergeCell ref="B7:E7"/>
    <mergeCell ref="A4:E4"/>
    <mergeCell ref="B6:I6"/>
    <mergeCell ref="F7:I7"/>
    <mergeCell ref="A14:D1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17" sqref="C17"/>
    </sheetView>
  </sheetViews>
  <sheetFormatPr defaultColWidth="9.140625" defaultRowHeight="12.75"/>
  <cols>
    <col min="1" max="1" width="8.140625" style="1047" customWidth="1"/>
    <col min="2" max="2" width="60.421875" style="1047" customWidth="1"/>
    <col min="3" max="3" width="19.140625" style="1047" customWidth="1"/>
    <col min="4" max="4" width="14.8515625" style="1047" bestFit="1" customWidth="1"/>
    <col min="5" max="5" width="15.421875" style="1047" bestFit="1" customWidth="1"/>
    <col min="6" max="6" width="14.140625" style="1047" bestFit="1" customWidth="1"/>
    <col min="7" max="16384" width="9.140625" style="1047" customWidth="1"/>
  </cols>
  <sheetData>
    <row r="1" ht="12.75">
      <c r="E1" s="1057" t="s">
        <v>587</v>
      </c>
    </row>
    <row r="4" spans="1:6" ht="26.25" customHeight="1">
      <c r="A4" s="1290" t="s">
        <v>586</v>
      </c>
      <c r="B4" s="1290"/>
      <c r="C4" s="1290"/>
      <c r="D4" s="1290"/>
      <c r="E4" s="1290"/>
      <c r="F4" s="1290"/>
    </row>
    <row r="5" spans="1:6" ht="15">
      <c r="A5" s="1048"/>
      <c r="B5" s="1048"/>
      <c r="C5" s="1048"/>
      <c r="D5" s="1049"/>
      <c r="F5" s="1058" t="s">
        <v>383</v>
      </c>
    </row>
    <row r="6" spans="1:6" ht="15">
      <c r="A6" s="1050"/>
      <c r="B6" s="1050"/>
      <c r="C6" s="1059" t="s">
        <v>227</v>
      </c>
      <c r="D6" s="1059" t="s">
        <v>585</v>
      </c>
      <c r="E6" s="1059" t="s">
        <v>595</v>
      </c>
      <c r="F6" s="1059" t="s">
        <v>1</v>
      </c>
    </row>
    <row r="7" spans="1:6" ht="12.75">
      <c r="A7" s="1060" t="s">
        <v>577</v>
      </c>
      <c r="B7" s="1051" t="s">
        <v>588</v>
      </c>
      <c r="C7" s="1052">
        <v>539152</v>
      </c>
      <c r="D7" s="1052">
        <v>232</v>
      </c>
      <c r="E7" s="1052">
        <v>37177</v>
      </c>
      <c r="F7" s="1052">
        <f>SUM(C7:E7)</f>
        <v>576561</v>
      </c>
    </row>
    <row r="8" spans="1:6" ht="12.75">
      <c r="A8" s="1061" t="s">
        <v>578</v>
      </c>
      <c r="B8" s="1053" t="s">
        <v>600</v>
      </c>
      <c r="C8" s="1054">
        <v>320894</v>
      </c>
      <c r="D8" s="1054">
        <v>93159</v>
      </c>
      <c r="E8" s="1054">
        <v>119761</v>
      </c>
      <c r="F8" s="1054">
        <f aca="true" t="shared" si="0" ref="F8:F16">SUM(C8:E8)</f>
        <v>533814</v>
      </c>
    </row>
    <row r="9" spans="1:6" ht="12.75">
      <c r="A9" s="1062" t="s">
        <v>579</v>
      </c>
      <c r="B9" s="1055" t="s">
        <v>601</v>
      </c>
      <c r="C9" s="1056">
        <v>218258</v>
      </c>
      <c r="D9" s="1056">
        <v>-92927</v>
      </c>
      <c r="E9" s="1056">
        <f>E7-E8</f>
        <v>-82584</v>
      </c>
      <c r="F9" s="1056">
        <f t="shared" si="0"/>
        <v>42747</v>
      </c>
    </row>
    <row r="10" spans="1:6" ht="12.75">
      <c r="A10" s="1061" t="s">
        <v>580</v>
      </c>
      <c r="B10" s="1053" t="s">
        <v>589</v>
      </c>
      <c r="C10" s="1054">
        <v>96620</v>
      </c>
      <c r="D10" s="1054">
        <v>92990</v>
      </c>
      <c r="E10" s="1054">
        <v>83400</v>
      </c>
      <c r="F10" s="1054">
        <f t="shared" si="0"/>
        <v>273010</v>
      </c>
    </row>
    <row r="11" spans="1:6" ht="12.75">
      <c r="A11" s="1061" t="s">
        <v>581</v>
      </c>
      <c r="B11" s="1053" t="s">
        <v>599</v>
      </c>
      <c r="C11" s="1054">
        <v>177191</v>
      </c>
      <c r="D11" s="1054">
        <v>0</v>
      </c>
      <c r="E11" s="1054">
        <v>0</v>
      </c>
      <c r="F11" s="1054">
        <f t="shared" si="0"/>
        <v>177191</v>
      </c>
    </row>
    <row r="12" spans="1:6" ht="12.75">
      <c r="A12" s="1062" t="s">
        <v>582</v>
      </c>
      <c r="B12" s="1055" t="s">
        <v>594</v>
      </c>
      <c r="C12" s="1056">
        <v>-80571</v>
      </c>
      <c r="D12" s="1056">
        <v>92990</v>
      </c>
      <c r="E12" s="1056">
        <f>E10-E11</f>
        <v>83400</v>
      </c>
      <c r="F12" s="1056">
        <f t="shared" si="0"/>
        <v>95819</v>
      </c>
    </row>
    <row r="13" spans="1:6" ht="12.75">
      <c r="A13" s="1062" t="s">
        <v>583</v>
      </c>
      <c r="B13" s="1055" t="s">
        <v>593</v>
      </c>
      <c r="C13" s="1056">
        <v>137687</v>
      </c>
      <c r="D13" s="1056">
        <v>63</v>
      </c>
      <c r="E13" s="1056">
        <f>E9+E12</f>
        <v>816</v>
      </c>
      <c r="F13" s="1056">
        <f t="shared" si="0"/>
        <v>138566</v>
      </c>
    </row>
    <row r="14" spans="1:6" ht="12.75">
      <c r="A14" s="1062" t="s">
        <v>596</v>
      </c>
      <c r="B14" s="1055" t="s">
        <v>592</v>
      </c>
      <c r="C14" s="1056">
        <v>137687</v>
      </c>
      <c r="D14" s="1056">
        <v>63</v>
      </c>
      <c r="E14" s="1056">
        <v>816</v>
      </c>
      <c r="F14" s="1056">
        <f t="shared" si="0"/>
        <v>138566</v>
      </c>
    </row>
    <row r="15" spans="1:6" ht="12.75">
      <c r="A15" s="1062" t="s">
        <v>597</v>
      </c>
      <c r="B15" s="1055" t="s">
        <v>590</v>
      </c>
      <c r="C15" s="1056">
        <v>676</v>
      </c>
      <c r="D15" s="1056">
        <v>0</v>
      </c>
      <c r="E15" s="1056">
        <v>0</v>
      </c>
      <c r="F15" s="1056">
        <f t="shared" si="0"/>
        <v>676</v>
      </c>
    </row>
    <row r="16" spans="1:6" ht="12.75">
      <c r="A16" s="1062" t="s">
        <v>598</v>
      </c>
      <c r="B16" s="1055" t="s">
        <v>591</v>
      </c>
      <c r="C16" s="1056">
        <v>137011</v>
      </c>
      <c r="D16" s="1056">
        <v>63</v>
      </c>
      <c r="E16" s="1056">
        <v>816</v>
      </c>
      <c r="F16" s="1056">
        <f t="shared" si="0"/>
        <v>137890</v>
      </c>
    </row>
    <row r="17" ht="12.75">
      <c r="A17" s="1063"/>
    </row>
  </sheetData>
  <sheetProtection/>
  <mergeCells count="1">
    <mergeCell ref="A4:F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pane ySplit="6" topLeftCell="A49" activePane="bottomLeft" state="frozen"/>
      <selection pane="topLeft" activeCell="A1" sqref="A1"/>
      <selection pane="bottomLeft" activeCell="L13" sqref="L13"/>
    </sheetView>
  </sheetViews>
  <sheetFormatPr defaultColWidth="9.140625" defaultRowHeight="12.75"/>
  <cols>
    <col min="1" max="1" width="8.140625" style="1049" customWidth="1"/>
    <col min="2" max="2" width="56.57421875" style="1074" customWidth="1"/>
    <col min="3" max="3" width="10.7109375" style="1049" customWidth="1"/>
    <col min="4" max="4" width="10.00390625" style="1049" customWidth="1"/>
    <col min="5" max="5" width="9.57421875" style="1049" customWidth="1"/>
    <col min="6" max="6" width="7.7109375" style="1049" customWidth="1"/>
    <col min="7" max="10" width="9.140625" style="1049" customWidth="1"/>
    <col min="11" max="16384" width="9.140625" style="1049" customWidth="1"/>
  </cols>
  <sheetData>
    <row r="1" spans="7:10" ht="25.5" customHeight="1">
      <c r="G1" s="1291" t="s">
        <v>709</v>
      </c>
      <c r="H1" s="1291"/>
      <c r="I1" s="1291"/>
      <c r="J1" s="1291"/>
    </row>
    <row r="2" spans="1:10" ht="21.75" customHeight="1">
      <c r="A2" s="1293" t="s">
        <v>701</v>
      </c>
      <c r="B2" s="1293"/>
      <c r="C2" s="1293"/>
      <c r="D2" s="1293"/>
      <c r="E2" s="1293"/>
      <c r="F2" s="1293"/>
      <c r="G2" s="1293"/>
      <c r="H2" s="1293"/>
      <c r="I2" s="1293"/>
      <c r="J2" s="1293"/>
    </row>
    <row r="3" spans="1:10" ht="21.75" customHeight="1">
      <c r="A3" s="1073"/>
      <c r="B3" s="1073"/>
      <c r="C3" s="1073"/>
      <c r="D3" s="1073"/>
      <c r="E3" s="1073"/>
      <c r="F3" s="1073"/>
      <c r="G3" s="1073"/>
      <c r="H3" s="1073"/>
      <c r="I3" s="1294" t="s">
        <v>383</v>
      </c>
      <c r="J3" s="1294"/>
    </row>
    <row r="4" spans="1:10" ht="12.75">
      <c r="A4" s="1065"/>
      <c r="B4" s="1075"/>
      <c r="C4" s="1292" t="s">
        <v>227</v>
      </c>
      <c r="D4" s="1292"/>
      <c r="E4" s="1292" t="s">
        <v>585</v>
      </c>
      <c r="F4" s="1292"/>
      <c r="G4" s="1292" t="s">
        <v>595</v>
      </c>
      <c r="H4" s="1292"/>
      <c r="I4" s="1292" t="s">
        <v>708</v>
      </c>
      <c r="J4" s="1292"/>
    </row>
    <row r="5" spans="1:10" ht="25.5">
      <c r="A5" s="1065" t="s">
        <v>576</v>
      </c>
      <c r="B5" s="1065" t="s">
        <v>4</v>
      </c>
      <c r="C5" s="1065" t="s">
        <v>602</v>
      </c>
      <c r="D5" s="1065" t="s">
        <v>603</v>
      </c>
      <c r="E5" s="1065" t="s">
        <v>602</v>
      </c>
      <c r="F5" s="1065" t="s">
        <v>603</v>
      </c>
      <c r="G5" s="1065" t="s">
        <v>602</v>
      </c>
      <c r="H5" s="1065" t="s">
        <v>603</v>
      </c>
      <c r="I5" s="1065" t="s">
        <v>602</v>
      </c>
      <c r="J5" s="1065" t="s">
        <v>603</v>
      </c>
    </row>
    <row r="6" spans="1:10" ht="12.75">
      <c r="A6" s="1065">
        <v>1</v>
      </c>
      <c r="B6" s="1065">
        <v>2</v>
      </c>
      <c r="C6" s="1065">
        <v>3</v>
      </c>
      <c r="D6" s="1065">
        <v>4</v>
      </c>
      <c r="E6" s="1064">
        <v>5</v>
      </c>
      <c r="F6" s="1064">
        <v>6</v>
      </c>
      <c r="G6" s="1064">
        <v>7</v>
      </c>
      <c r="H6" s="1064">
        <v>8</v>
      </c>
      <c r="I6" s="1064">
        <v>9</v>
      </c>
      <c r="J6" s="1064">
        <v>10</v>
      </c>
    </row>
    <row r="7" spans="1:10" ht="12.75">
      <c r="A7" s="1065">
        <v>1</v>
      </c>
      <c r="B7" s="1066" t="s">
        <v>706</v>
      </c>
      <c r="C7" s="1071"/>
      <c r="D7" s="1071"/>
      <c r="E7" s="1072">
        <v>615</v>
      </c>
      <c r="F7" s="1072">
        <v>391</v>
      </c>
      <c r="G7" s="1072"/>
      <c r="H7" s="1072"/>
      <c r="I7" s="1072">
        <f>C7+E7+G7</f>
        <v>615</v>
      </c>
      <c r="J7" s="1072">
        <f>D7+F7+H7</f>
        <v>391</v>
      </c>
    </row>
    <row r="8" spans="1:10" ht="12.75">
      <c r="A8" s="1065">
        <v>4</v>
      </c>
      <c r="B8" s="1066" t="s">
        <v>707</v>
      </c>
      <c r="C8" s="1071"/>
      <c r="D8" s="1071"/>
      <c r="E8" s="1072">
        <f>SUM(E7)</f>
        <v>615</v>
      </c>
      <c r="F8" s="1072">
        <f>SUM(F7)</f>
        <v>391</v>
      </c>
      <c r="G8" s="1072"/>
      <c r="H8" s="1072"/>
      <c r="I8" s="1072">
        <f aca="true" t="shared" si="0" ref="I8:J63">C8+E8+G8</f>
        <v>615</v>
      </c>
      <c r="J8" s="1072">
        <f t="shared" si="0"/>
        <v>391</v>
      </c>
    </row>
    <row r="9" spans="1:10" ht="12.75">
      <c r="A9" s="1065" t="s">
        <v>581</v>
      </c>
      <c r="B9" s="1066" t="s">
        <v>604</v>
      </c>
      <c r="C9" s="1067">
        <v>1040066</v>
      </c>
      <c r="D9" s="1067">
        <v>1089432</v>
      </c>
      <c r="E9" s="1067"/>
      <c r="F9" s="1067"/>
      <c r="G9" s="1067"/>
      <c r="H9" s="1067"/>
      <c r="I9" s="1067">
        <f t="shared" si="0"/>
        <v>1040066</v>
      </c>
      <c r="J9" s="1067">
        <f t="shared" si="0"/>
        <v>1089432</v>
      </c>
    </row>
    <row r="10" spans="1:10" ht="12.75">
      <c r="A10" s="1065" t="s">
        <v>582</v>
      </c>
      <c r="B10" s="1066" t="s">
        <v>605</v>
      </c>
      <c r="C10" s="1067">
        <v>3248</v>
      </c>
      <c r="D10" s="1067">
        <v>2518</v>
      </c>
      <c r="E10" s="1067">
        <v>272</v>
      </c>
      <c r="F10" s="1067">
        <v>102</v>
      </c>
      <c r="G10" s="1067">
        <v>2721</v>
      </c>
      <c r="H10" s="1067">
        <v>2069</v>
      </c>
      <c r="I10" s="1067">
        <f t="shared" si="0"/>
        <v>6241</v>
      </c>
      <c r="J10" s="1067">
        <f t="shared" si="0"/>
        <v>4689</v>
      </c>
    </row>
    <row r="11" spans="1:10" ht="12.75">
      <c r="A11" s="1065" t="s">
        <v>596</v>
      </c>
      <c r="B11" s="1066" t="s">
        <v>606</v>
      </c>
      <c r="C11" s="1067">
        <v>19377</v>
      </c>
      <c r="D11" s="1067">
        <v>18733</v>
      </c>
      <c r="E11" s="1067"/>
      <c r="F11" s="1067"/>
      <c r="G11" s="1067"/>
      <c r="H11" s="1067"/>
      <c r="I11" s="1067">
        <f t="shared" si="0"/>
        <v>19377</v>
      </c>
      <c r="J11" s="1067">
        <f t="shared" si="0"/>
        <v>18733</v>
      </c>
    </row>
    <row r="12" spans="1:10" ht="12.75">
      <c r="A12" s="1068" t="s">
        <v>598</v>
      </c>
      <c r="B12" s="1069" t="s">
        <v>607</v>
      </c>
      <c r="C12" s="1070">
        <v>1062691</v>
      </c>
      <c r="D12" s="1070">
        <v>1110683</v>
      </c>
      <c r="E12" s="1070">
        <f>SUM(E9:E11)</f>
        <v>272</v>
      </c>
      <c r="F12" s="1070">
        <f>SUM(F9:F11)</f>
        <v>102</v>
      </c>
      <c r="G12" s="1070">
        <f>SUM(G9:G11)</f>
        <v>2721</v>
      </c>
      <c r="H12" s="1070">
        <f>SUM(H9:H11)</f>
        <v>2069</v>
      </c>
      <c r="I12" s="1070">
        <f t="shared" si="0"/>
        <v>1065684</v>
      </c>
      <c r="J12" s="1070">
        <f t="shared" si="0"/>
        <v>1112854</v>
      </c>
    </row>
    <row r="13" spans="1:10" ht="12.75">
      <c r="A13" s="1065" t="s">
        <v>608</v>
      </c>
      <c r="B13" s="1066" t="s">
        <v>609</v>
      </c>
      <c r="C13" s="1067">
        <v>11580</v>
      </c>
      <c r="D13" s="1067">
        <v>11580</v>
      </c>
      <c r="E13" s="1067"/>
      <c r="F13" s="1067"/>
      <c r="G13" s="1067"/>
      <c r="H13" s="1067"/>
      <c r="I13" s="1067">
        <f t="shared" si="0"/>
        <v>11580</v>
      </c>
      <c r="J13" s="1067">
        <f t="shared" si="0"/>
        <v>11580</v>
      </c>
    </row>
    <row r="14" spans="1:10" ht="12.75">
      <c r="A14" s="1065" t="s">
        <v>610</v>
      </c>
      <c r="B14" s="1066" t="s">
        <v>611</v>
      </c>
      <c r="C14" s="1067">
        <v>0</v>
      </c>
      <c r="D14" s="1067">
        <v>11580</v>
      </c>
      <c r="E14" s="1067"/>
      <c r="F14" s="1067"/>
      <c r="G14" s="1067"/>
      <c r="H14" s="1067"/>
      <c r="I14" s="1067">
        <f t="shared" si="0"/>
        <v>0</v>
      </c>
      <c r="J14" s="1067">
        <f t="shared" si="0"/>
        <v>11580</v>
      </c>
    </row>
    <row r="15" spans="1:10" ht="12.75">
      <c r="A15" s="1065" t="s">
        <v>584</v>
      </c>
      <c r="B15" s="1066" t="s">
        <v>612</v>
      </c>
      <c r="C15" s="1067">
        <v>11580</v>
      </c>
      <c r="D15" s="1067">
        <v>0</v>
      </c>
      <c r="E15" s="1067"/>
      <c r="F15" s="1067"/>
      <c r="G15" s="1067"/>
      <c r="H15" s="1067"/>
      <c r="I15" s="1067">
        <f t="shared" si="0"/>
        <v>11580</v>
      </c>
      <c r="J15" s="1067">
        <f t="shared" si="0"/>
        <v>0</v>
      </c>
    </row>
    <row r="16" spans="1:10" ht="12.75">
      <c r="A16" s="1068" t="s">
        <v>613</v>
      </c>
      <c r="B16" s="1069" t="s">
        <v>614</v>
      </c>
      <c r="C16" s="1070">
        <v>11580</v>
      </c>
      <c r="D16" s="1070">
        <v>11580</v>
      </c>
      <c r="E16" s="1070"/>
      <c r="F16" s="1070"/>
      <c r="G16" s="1070"/>
      <c r="H16" s="1070"/>
      <c r="I16" s="1070">
        <f t="shared" si="0"/>
        <v>11580</v>
      </c>
      <c r="J16" s="1070">
        <f t="shared" si="0"/>
        <v>11580</v>
      </c>
    </row>
    <row r="17" spans="1:10" ht="25.5">
      <c r="A17" s="1068" t="s">
        <v>615</v>
      </c>
      <c r="B17" s="1069" t="s">
        <v>616</v>
      </c>
      <c r="C17" s="1070">
        <v>1074271</v>
      </c>
      <c r="D17" s="1070">
        <v>1122263</v>
      </c>
      <c r="E17" s="1070">
        <f>E12+E8</f>
        <v>887</v>
      </c>
      <c r="F17" s="1070">
        <f>F12+F8</f>
        <v>493</v>
      </c>
      <c r="G17" s="1070">
        <f>G12</f>
        <v>2721</v>
      </c>
      <c r="H17" s="1070">
        <f>H12</f>
        <v>2069</v>
      </c>
      <c r="I17" s="1070">
        <f t="shared" si="0"/>
        <v>1077879</v>
      </c>
      <c r="J17" s="1070">
        <f t="shared" si="0"/>
        <v>1124825</v>
      </c>
    </row>
    <row r="18" spans="1:10" ht="12.75">
      <c r="A18" s="1068">
        <v>29</v>
      </c>
      <c r="B18" s="1069" t="s">
        <v>703</v>
      </c>
      <c r="C18" s="1070"/>
      <c r="D18" s="1070"/>
      <c r="E18" s="1070"/>
      <c r="F18" s="1070"/>
      <c r="G18" s="1070">
        <v>377</v>
      </c>
      <c r="H18" s="1070">
        <v>464</v>
      </c>
      <c r="I18" s="1070">
        <f t="shared" si="0"/>
        <v>377</v>
      </c>
      <c r="J18" s="1070">
        <f t="shared" si="0"/>
        <v>464</v>
      </c>
    </row>
    <row r="19" spans="1:10" ht="12.75">
      <c r="A19" s="1068">
        <v>34</v>
      </c>
      <c r="B19" s="1069" t="s">
        <v>702</v>
      </c>
      <c r="C19" s="1072">
        <f>SUM(C18)</f>
        <v>0</v>
      </c>
      <c r="D19" s="1072">
        <f>SUM(D18)</f>
        <v>0</v>
      </c>
      <c r="E19" s="1072"/>
      <c r="F19" s="1072"/>
      <c r="G19" s="1072">
        <f>SUM(G18)</f>
        <v>377</v>
      </c>
      <c r="H19" s="1072">
        <f>SUM(H18)</f>
        <v>464</v>
      </c>
      <c r="I19" s="1072">
        <f t="shared" si="0"/>
        <v>377</v>
      </c>
      <c r="J19" s="1072">
        <f t="shared" si="0"/>
        <v>464</v>
      </c>
    </row>
    <row r="20" spans="1:10" ht="25.5">
      <c r="A20" s="1068">
        <v>43</v>
      </c>
      <c r="B20" s="1069" t="s">
        <v>704</v>
      </c>
      <c r="C20" s="1072">
        <f>SUM(C19)</f>
        <v>0</v>
      </c>
      <c r="D20" s="1072">
        <f>SUM(D19)</f>
        <v>0</v>
      </c>
      <c r="E20" s="1072"/>
      <c r="F20" s="1072"/>
      <c r="G20" s="1072">
        <f>SUM(G19)</f>
        <v>377</v>
      </c>
      <c r="H20" s="1072">
        <f>SUM(H19)</f>
        <v>464</v>
      </c>
      <c r="I20" s="1072">
        <f t="shared" si="0"/>
        <v>377</v>
      </c>
      <c r="J20" s="1072">
        <f t="shared" si="0"/>
        <v>464</v>
      </c>
    </row>
    <row r="21" spans="1:10" ht="12.75">
      <c r="A21" s="1065" t="s">
        <v>617</v>
      </c>
      <c r="B21" s="1066" t="s">
        <v>618</v>
      </c>
      <c r="C21" s="1067">
        <v>74091</v>
      </c>
      <c r="D21" s="1067">
        <v>136578</v>
      </c>
      <c r="E21" s="1067">
        <v>1052</v>
      </c>
      <c r="F21" s="1067">
        <v>64</v>
      </c>
      <c r="G21" s="1067">
        <v>9302</v>
      </c>
      <c r="H21" s="1067">
        <v>2629</v>
      </c>
      <c r="I21" s="1067">
        <f t="shared" si="0"/>
        <v>84445</v>
      </c>
      <c r="J21" s="1067">
        <f t="shared" si="0"/>
        <v>139271</v>
      </c>
    </row>
    <row r="22" spans="1:10" ht="12.75">
      <c r="A22" s="1068" t="s">
        <v>619</v>
      </c>
      <c r="B22" s="1069" t="s">
        <v>620</v>
      </c>
      <c r="C22" s="1070">
        <v>74091</v>
      </c>
      <c r="D22" s="1070">
        <v>136578</v>
      </c>
      <c r="E22" s="1070">
        <f aca="true" t="shared" si="1" ref="E22:H23">SUM(E21)</f>
        <v>1052</v>
      </c>
      <c r="F22" s="1070">
        <f t="shared" si="1"/>
        <v>64</v>
      </c>
      <c r="G22" s="1070">
        <f t="shared" si="1"/>
        <v>9302</v>
      </c>
      <c r="H22" s="1070">
        <f t="shared" si="1"/>
        <v>2629</v>
      </c>
      <c r="I22" s="1070">
        <f t="shared" si="0"/>
        <v>84445</v>
      </c>
      <c r="J22" s="1070">
        <f t="shared" si="0"/>
        <v>139271</v>
      </c>
    </row>
    <row r="23" spans="1:10" ht="12.75">
      <c r="A23" s="1068" t="s">
        <v>621</v>
      </c>
      <c r="B23" s="1069" t="s">
        <v>622</v>
      </c>
      <c r="C23" s="1070">
        <v>74091</v>
      </c>
      <c r="D23" s="1070">
        <v>136578</v>
      </c>
      <c r="E23" s="1070">
        <f t="shared" si="1"/>
        <v>1052</v>
      </c>
      <c r="F23" s="1070">
        <f t="shared" si="1"/>
        <v>64</v>
      </c>
      <c r="G23" s="1070">
        <f t="shared" si="1"/>
        <v>9302</v>
      </c>
      <c r="H23" s="1070">
        <f t="shared" si="1"/>
        <v>2629</v>
      </c>
      <c r="I23" s="1070">
        <f t="shared" si="0"/>
        <v>84445</v>
      </c>
      <c r="J23" s="1070">
        <f t="shared" si="0"/>
        <v>139271</v>
      </c>
    </row>
    <row r="24" spans="1:10" ht="25.5">
      <c r="A24" s="1065" t="s">
        <v>623</v>
      </c>
      <c r="B24" s="1066" t="s">
        <v>624</v>
      </c>
      <c r="C24" s="1067">
        <v>5447</v>
      </c>
      <c r="D24" s="1067">
        <v>7097</v>
      </c>
      <c r="E24" s="1067"/>
      <c r="F24" s="1067"/>
      <c r="G24" s="1067"/>
      <c r="H24" s="1067"/>
      <c r="I24" s="1067">
        <f t="shared" si="0"/>
        <v>5447</v>
      </c>
      <c r="J24" s="1067">
        <f t="shared" si="0"/>
        <v>7097</v>
      </c>
    </row>
    <row r="25" spans="1:10" ht="25.5">
      <c r="A25" s="1065" t="s">
        <v>625</v>
      </c>
      <c r="B25" s="1066" t="s">
        <v>626</v>
      </c>
      <c r="C25" s="1067">
        <v>0</v>
      </c>
      <c r="D25" s="1067">
        <v>360</v>
      </c>
      <c r="E25" s="1067"/>
      <c r="F25" s="1067"/>
      <c r="G25" s="1067"/>
      <c r="H25" s="1067"/>
      <c r="I25" s="1067">
        <f t="shared" si="0"/>
        <v>0</v>
      </c>
      <c r="J25" s="1067">
        <f t="shared" si="0"/>
        <v>360</v>
      </c>
    </row>
    <row r="26" spans="1:10" ht="25.5">
      <c r="A26" s="1065" t="s">
        <v>627</v>
      </c>
      <c r="B26" s="1066" t="s">
        <v>628</v>
      </c>
      <c r="C26" s="1067">
        <v>5447</v>
      </c>
      <c r="D26" s="1067">
        <v>6637</v>
      </c>
      <c r="E26" s="1067"/>
      <c r="F26" s="1067"/>
      <c r="G26" s="1067"/>
      <c r="H26" s="1067"/>
      <c r="I26" s="1067">
        <f t="shared" si="0"/>
        <v>5447</v>
      </c>
      <c r="J26" s="1067">
        <f t="shared" si="0"/>
        <v>6637</v>
      </c>
    </row>
    <row r="27" spans="1:10" ht="25.5">
      <c r="A27" s="1065" t="s">
        <v>629</v>
      </c>
      <c r="B27" s="1066" t="s">
        <v>630</v>
      </c>
      <c r="C27" s="1067">
        <v>0</v>
      </c>
      <c r="D27" s="1067">
        <v>100</v>
      </c>
      <c r="E27" s="1067"/>
      <c r="F27" s="1067"/>
      <c r="G27" s="1067"/>
      <c r="H27" s="1067"/>
      <c r="I27" s="1067">
        <f t="shared" si="0"/>
        <v>0</v>
      </c>
      <c r="J27" s="1067">
        <f t="shared" si="0"/>
        <v>100</v>
      </c>
    </row>
    <row r="28" spans="1:10" ht="25.5">
      <c r="A28" s="1065" t="s">
        <v>631</v>
      </c>
      <c r="B28" s="1066" t="s">
        <v>632</v>
      </c>
      <c r="C28" s="1067">
        <v>298</v>
      </c>
      <c r="D28" s="1067">
        <v>650</v>
      </c>
      <c r="E28" s="1067"/>
      <c r="F28" s="1067">
        <v>12</v>
      </c>
      <c r="G28" s="1067">
        <v>1598</v>
      </c>
      <c r="H28" s="1067">
        <v>1546</v>
      </c>
      <c r="I28" s="1067">
        <f t="shared" si="0"/>
        <v>1896</v>
      </c>
      <c r="J28" s="1067">
        <f t="shared" si="0"/>
        <v>2208</v>
      </c>
    </row>
    <row r="29" spans="1:10" ht="38.25">
      <c r="A29" s="1065" t="s">
        <v>633</v>
      </c>
      <c r="B29" s="1066" t="s">
        <v>634</v>
      </c>
      <c r="C29" s="1067">
        <v>298</v>
      </c>
      <c r="D29" s="1067">
        <v>344</v>
      </c>
      <c r="E29" s="1067"/>
      <c r="F29" s="1067">
        <v>12</v>
      </c>
      <c r="G29" s="1067">
        <v>1561</v>
      </c>
      <c r="H29" s="1067">
        <v>1217</v>
      </c>
      <c r="I29" s="1067">
        <f t="shared" si="0"/>
        <v>1859</v>
      </c>
      <c r="J29" s="1067">
        <f t="shared" si="0"/>
        <v>1573</v>
      </c>
    </row>
    <row r="30" spans="1:10" ht="25.5">
      <c r="A30" s="1065" t="s">
        <v>635</v>
      </c>
      <c r="B30" s="1066" t="s">
        <v>636</v>
      </c>
      <c r="C30" s="1067">
        <v>0</v>
      </c>
      <c r="D30" s="1067">
        <v>200</v>
      </c>
      <c r="E30" s="1067"/>
      <c r="F30" s="1067"/>
      <c r="G30" s="1067"/>
      <c r="H30" s="1067"/>
      <c r="I30" s="1067">
        <f t="shared" si="0"/>
        <v>0</v>
      </c>
      <c r="J30" s="1067">
        <f t="shared" si="0"/>
        <v>200</v>
      </c>
    </row>
    <row r="31" spans="1:10" ht="25.5">
      <c r="A31" s="1065">
        <v>72</v>
      </c>
      <c r="B31" s="1066" t="s">
        <v>705</v>
      </c>
      <c r="C31" s="1067"/>
      <c r="D31" s="1067"/>
      <c r="E31" s="1067"/>
      <c r="F31" s="1067"/>
      <c r="G31" s="1067">
        <v>37</v>
      </c>
      <c r="H31" s="1067">
        <v>0</v>
      </c>
      <c r="I31" s="1067">
        <f t="shared" si="0"/>
        <v>37</v>
      </c>
      <c r="J31" s="1067">
        <f t="shared" si="0"/>
        <v>0</v>
      </c>
    </row>
    <row r="32" spans="1:10" ht="25.5">
      <c r="A32" s="1065" t="s">
        <v>637</v>
      </c>
      <c r="B32" s="1066" t="s">
        <v>638</v>
      </c>
      <c r="C32" s="1067">
        <v>0</v>
      </c>
      <c r="D32" s="1067">
        <v>106</v>
      </c>
      <c r="E32" s="1067"/>
      <c r="F32" s="1067"/>
      <c r="G32" s="1067"/>
      <c r="H32" s="1067"/>
      <c r="I32" s="1067">
        <f t="shared" si="0"/>
        <v>0</v>
      </c>
      <c r="J32" s="1067">
        <f t="shared" si="0"/>
        <v>106</v>
      </c>
    </row>
    <row r="33" spans="1:10" ht="12.75">
      <c r="A33" s="1068" t="s">
        <v>639</v>
      </c>
      <c r="B33" s="1069" t="s">
        <v>640</v>
      </c>
      <c r="C33" s="1070">
        <v>5745</v>
      </c>
      <c r="D33" s="1070">
        <v>7747</v>
      </c>
      <c r="E33" s="1070">
        <f>E28</f>
        <v>0</v>
      </c>
      <c r="F33" s="1070">
        <f>F28</f>
        <v>12</v>
      </c>
      <c r="G33" s="1070">
        <f>G28</f>
        <v>1598</v>
      </c>
      <c r="H33" s="1070">
        <f>H28</f>
        <v>1546</v>
      </c>
      <c r="I33" s="1070">
        <f t="shared" si="0"/>
        <v>7343</v>
      </c>
      <c r="J33" s="1070">
        <f t="shared" si="0"/>
        <v>9305</v>
      </c>
    </row>
    <row r="34" spans="1:10" ht="25.5">
      <c r="A34" s="1065" t="s">
        <v>641</v>
      </c>
      <c r="B34" s="1066" t="s">
        <v>642</v>
      </c>
      <c r="C34" s="1067">
        <v>0</v>
      </c>
      <c r="D34" s="1067">
        <v>47</v>
      </c>
      <c r="E34" s="1067"/>
      <c r="F34" s="1067"/>
      <c r="G34" s="1067"/>
      <c r="H34" s="1067"/>
      <c r="I34" s="1067">
        <f t="shared" si="0"/>
        <v>0</v>
      </c>
      <c r="J34" s="1067">
        <f t="shared" si="0"/>
        <v>47</v>
      </c>
    </row>
    <row r="35" spans="1:10" ht="38.25">
      <c r="A35" s="1065" t="s">
        <v>643</v>
      </c>
      <c r="B35" s="1066" t="s">
        <v>644</v>
      </c>
      <c r="C35" s="1067">
        <v>0</v>
      </c>
      <c r="D35" s="1067">
        <v>37</v>
      </c>
      <c r="E35" s="1067"/>
      <c r="F35" s="1067"/>
      <c r="G35" s="1067"/>
      <c r="H35" s="1067"/>
      <c r="I35" s="1067">
        <f t="shared" si="0"/>
        <v>0</v>
      </c>
      <c r="J35" s="1067">
        <f t="shared" si="0"/>
        <v>37</v>
      </c>
    </row>
    <row r="36" spans="1:10" ht="25.5">
      <c r="A36" s="1065" t="s">
        <v>645</v>
      </c>
      <c r="B36" s="1066" t="s">
        <v>646</v>
      </c>
      <c r="C36" s="1067">
        <v>0</v>
      </c>
      <c r="D36" s="1067">
        <v>10</v>
      </c>
      <c r="E36" s="1067"/>
      <c r="F36" s="1067"/>
      <c r="G36" s="1067"/>
      <c r="H36" s="1067"/>
      <c r="I36" s="1067">
        <f t="shared" si="0"/>
        <v>0</v>
      </c>
      <c r="J36" s="1067">
        <f t="shared" si="0"/>
        <v>10</v>
      </c>
    </row>
    <row r="37" spans="1:10" ht="25.5">
      <c r="A37" s="1068" t="s">
        <v>647</v>
      </c>
      <c r="B37" s="1069" t="s">
        <v>648</v>
      </c>
      <c r="C37" s="1070">
        <v>0</v>
      </c>
      <c r="D37" s="1070">
        <v>47</v>
      </c>
      <c r="E37" s="1070"/>
      <c r="F37" s="1070"/>
      <c r="G37" s="1070"/>
      <c r="H37" s="1070"/>
      <c r="I37" s="1070">
        <f t="shared" si="0"/>
        <v>0</v>
      </c>
      <c r="J37" s="1070">
        <f t="shared" si="0"/>
        <v>47</v>
      </c>
    </row>
    <row r="38" spans="1:10" ht="12.75">
      <c r="A38" s="1065" t="s">
        <v>649</v>
      </c>
      <c r="B38" s="1066" t="s">
        <v>650</v>
      </c>
      <c r="C38" s="1067">
        <v>178</v>
      </c>
      <c r="D38" s="1067">
        <v>168</v>
      </c>
      <c r="E38" s="1067"/>
      <c r="F38" s="1067"/>
      <c r="G38" s="1067"/>
      <c r="H38" s="1067"/>
      <c r="I38" s="1067">
        <f t="shared" si="0"/>
        <v>178</v>
      </c>
      <c r="J38" s="1067">
        <f t="shared" si="0"/>
        <v>168</v>
      </c>
    </row>
    <row r="39" spans="1:10" ht="12.75">
      <c r="A39" s="1065" t="s">
        <v>651</v>
      </c>
      <c r="B39" s="1066" t="s">
        <v>652</v>
      </c>
      <c r="C39" s="1067">
        <v>178</v>
      </c>
      <c r="D39" s="1067">
        <v>168</v>
      </c>
      <c r="E39" s="1067"/>
      <c r="F39" s="1067"/>
      <c r="G39" s="1067"/>
      <c r="H39" s="1067"/>
      <c r="I39" s="1067">
        <f t="shared" si="0"/>
        <v>178</v>
      </c>
      <c r="J39" s="1067">
        <f t="shared" si="0"/>
        <v>168</v>
      </c>
    </row>
    <row r="40" spans="1:10" ht="12.75">
      <c r="A40" s="1065" t="s">
        <v>653</v>
      </c>
      <c r="B40" s="1066" t="s">
        <v>654</v>
      </c>
      <c r="C40" s="1067">
        <v>0</v>
      </c>
      <c r="D40" s="1067">
        <v>170</v>
      </c>
      <c r="E40" s="1067"/>
      <c r="F40" s="1067"/>
      <c r="G40" s="1067"/>
      <c r="H40" s="1067"/>
      <c r="I40" s="1067">
        <f t="shared" si="0"/>
        <v>0</v>
      </c>
      <c r="J40" s="1067">
        <f t="shared" si="0"/>
        <v>170</v>
      </c>
    </row>
    <row r="41" spans="1:10" ht="12.75">
      <c r="A41" s="1068" t="s">
        <v>655</v>
      </c>
      <c r="B41" s="1069" t="s">
        <v>656</v>
      </c>
      <c r="C41" s="1070">
        <v>178</v>
      </c>
      <c r="D41" s="1070">
        <v>338</v>
      </c>
      <c r="E41" s="1070"/>
      <c r="F41" s="1070"/>
      <c r="G41" s="1070"/>
      <c r="H41" s="1070"/>
      <c r="I41" s="1070">
        <f t="shared" si="0"/>
        <v>178</v>
      </c>
      <c r="J41" s="1070">
        <f t="shared" si="0"/>
        <v>338</v>
      </c>
    </row>
    <row r="42" spans="1:10" ht="12.75">
      <c r="A42" s="1068" t="s">
        <v>657</v>
      </c>
      <c r="B42" s="1069" t="s">
        <v>658</v>
      </c>
      <c r="C42" s="1070">
        <v>5923</v>
      </c>
      <c r="D42" s="1070">
        <v>8132</v>
      </c>
      <c r="E42" s="1070">
        <f>SUM(E33,E37,E41)</f>
        <v>0</v>
      </c>
      <c r="F42" s="1070">
        <f>SUM(F33,F37,F41)</f>
        <v>12</v>
      </c>
      <c r="G42" s="1070">
        <f>SUM(G33,G37,G41)</f>
        <v>1598</v>
      </c>
      <c r="H42" s="1070">
        <f>SUM(H33,H37,H41)</f>
        <v>1546</v>
      </c>
      <c r="I42" s="1070">
        <f t="shared" si="0"/>
        <v>7521</v>
      </c>
      <c r="J42" s="1070">
        <f t="shared" si="0"/>
        <v>9690</v>
      </c>
    </row>
    <row r="43" spans="1:10" ht="12.75">
      <c r="A43" s="1065" t="s">
        <v>659</v>
      </c>
      <c r="B43" s="1066" t="s">
        <v>660</v>
      </c>
      <c r="C43" s="1067">
        <v>13386</v>
      </c>
      <c r="D43" s="1067">
        <v>1259</v>
      </c>
      <c r="E43" s="1067"/>
      <c r="F43" s="1067"/>
      <c r="G43" s="1067"/>
      <c r="H43" s="1067">
        <v>410</v>
      </c>
      <c r="I43" s="1067">
        <f t="shared" si="0"/>
        <v>13386</v>
      </c>
      <c r="J43" s="1067">
        <f t="shared" si="0"/>
        <v>1669</v>
      </c>
    </row>
    <row r="44" spans="1:10" ht="25.5">
      <c r="A44" s="1068" t="s">
        <v>661</v>
      </c>
      <c r="B44" s="1069" t="s">
        <v>662</v>
      </c>
      <c r="C44" s="1070">
        <v>13386</v>
      </c>
      <c r="D44" s="1070">
        <v>1259</v>
      </c>
      <c r="E44" s="1070"/>
      <c r="F44" s="1070"/>
      <c r="G44" s="1070">
        <f>SUM(G43)</f>
        <v>0</v>
      </c>
      <c r="H44" s="1070">
        <f>SUM(H43)</f>
        <v>410</v>
      </c>
      <c r="I44" s="1070">
        <f t="shared" si="0"/>
        <v>13386</v>
      </c>
      <c r="J44" s="1070">
        <f t="shared" si="0"/>
        <v>1669</v>
      </c>
    </row>
    <row r="45" spans="1:10" ht="12.75">
      <c r="A45" s="1068" t="s">
        <v>663</v>
      </c>
      <c r="B45" s="1069" t="s">
        <v>664</v>
      </c>
      <c r="C45" s="1070">
        <v>1167671</v>
      </c>
      <c r="D45" s="1070">
        <v>1268232</v>
      </c>
      <c r="E45" s="1070">
        <f>E42+E23+E20+E17+E44</f>
        <v>1939</v>
      </c>
      <c r="F45" s="1070">
        <f>F42+F23+F20+F17+F44</f>
        <v>569</v>
      </c>
      <c r="G45" s="1070">
        <f>G42+G23+G20+G17+G44</f>
        <v>13998</v>
      </c>
      <c r="H45" s="1070">
        <f>H42+H23+H20+H17+H44</f>
        <v>7118</v>
      </c>
      <c r="I45" s="1070">
        <f t="shared" si="0"/>
        <v>1183608</v>
      </c>
      <c r="J45" s="1070">
        <f t="shared" si="0"/>
        <v>1275919</v>
      </c>
    </row>
    <row r="46" spans="1:10" ht="12.75">
      <c r="A46" s="1065" t="s">
        <v>665</v>
      </c>
      <c r="B46" s="1066" t="s">
        <v>666</v>
      </c>
      <c r="C46" s="1067">
        <v>605374</v>
      </c>
      <c r="D46" s="1067">
        <v>605374</v>
      </c>
      <c r="E46" s="1067">
        <v>2204</v>
      </c>
      <c r="F46" s="1067">
        <v>2204</v>
      </c>
      <c r="G46" s="1067"/>
      <c r="H46" s="1067"/>
      <c r="I46" s="1067">
        <f t="shared" si="0"/>
        <v>607578</v>
      </c>
      <c r="J46" s="1067">
        <f t="shared" si="0"/>
        <v>607578</v>
      </c>
    </row>
    <row r="47" spans="1:10" ht="12.75">
      <c r="A47" s="1065" t="s">
        <v>667</v>
      </c>
      <c r="B47" s="1066" t="s">
        <v>668</v>
      </c>
      <c r="C47" s="1067">
        <v>81974</v>
      </c>
      <c r="D47" s="1067">
        <v>81974</v>
      </c>
      <c r="E47" s="1067">
        <v>14504</v>
      </c>
      <c r="F47" s="1067">
        <v>14504</v>
      </c>
      <c r="G47" s="1067">
        <v>17445</v>
      </c>
      <c r="H47" s="1067">
        <v>17445</v>
      </c>
      <c r="I47" s="1067">
        <f t="shared" si="0"/>
        <v>113923</v>
      </c>
      <c r="J47" s="1067">
        <f t="shared" si="0"/>
        <v>113923</v>
      </c>
    </row>
    <row r="48" spans="1:10" ht="12.75">
      <c r="A48" s="1065" t="s">
        <v>669</v>
      </c>
      <c r="B48" s="1066" t="s">
        <v>670</v>
      </c>
      <c r="C48" s="1067">
        <v>388593</v>
      </c>
      <c r="D48" s="1067">
        <v>438603</v>
      </c>
      <c r="E48" s="1067">
        <v>-1480</v>
      </c>
      <c r="F48" s="1067">
        <v>-14831</v>
      </c>
      <c r="G48" s="1067">
        <v>7514</v>
      </c>
      <c r="H48" s="1067">
        <v>-3646</v>
      </c>
      <c r="I48" s="1067">
        <f t="shared" si="0"/>
        <v>394627</v>
      </c>
      <c r="J48" s="1067">
        <f t="shared" si="0"/>
        <v>420126</v>
      </c>
    </row>
    <row r="49" spans="1:10" ht="12.75">
      <c r="A49" s="1065" t="s">
        <v>671</v>
      </c>
      <c r="B49" s="1066" t="s">
        <v>672</v>
      </c>
      <c r="C49" s="1067">
        <v>50010</v>
      </c>
      <c r="D49" s="1067">
        <v>130380</v>
      </c>
      <c r="E49" s="1067">
        <v>-13351</v>
      </c>
      <c r="F49" s="1067">
        <v>-1308</v>
      </c>
      <c r="G49" s="1067">
        <v>-11160</v>
      </c>
      <c r="H49" s="1067">
        <v>-6681</v>
      </c>
      <c r="I49" s="1067">
        <f t="shared" si="0"/>
        <v>25499</v>
      </c>
      <c r="J49" s="1067">
        <f t="shared" si="0"/>
        <v>122391</v>
      </c>
    </row>
    <row r="50" spans="1:10" ht="12.75">
      <c r="A50" s="1068" t="s">
        <v>673</v>
      </c>
      <c r="B50" s="1069" t="s">
        <v>674</v>
      </c>
      <c r="C50" s="1070">
        <v>1125951</v>
      </c>
      <c r="D50" s="1070">
        <v>1256331</v>
      </c>
      <c r="E50" s="1070">
        <f>SUM(E46:E49)</f>
        <v>1877</v>
      </c>
      <c r="F50" s="1070">
        <f>SUM(F46:F49)</f>
        <v>569</v>
      </c>
      <c r="G50" s="1070">
        <f>SUM(G46:G49)</f>
        <v>13799</v>
      </c>
      <c r="H50" s="1070">
        <f>SUM(H46:H49)</f>
        <v>7118</v>
      </c>
      <c r="I50" s="1070">
        <f t="shared" si="0"/>
        <v>1141627</v>
      </c>
      <c r="J50" s="1070">
        <f t="shared" si="0"/>
        <v>1264018</v>
      </c>
    </row>
    <row r="51" spans="1:10" ht="12.75">
      <c r="A51" s="1065" t="s">
        <v>675</v>
      </c>
      <c r="B51" s="1066" t="s">
        <v>676</v>
      </c>
      <c r="C51" s="1067">
        <v>933</v>
      </c>
      <c r="D51" s="1067">
        <v>0</v>
      </c>
      <c r="E51" s="1067">
        <v>62</v>
      </c>
      <c r="F51" s="1067"/>
      <c r="G51" s="1067">
        <v>199</v>
      </c>
      <c r="H51" s="1067"/>
      <c r="I51" s="1067">
        <f t="shared" si="0"/>
        <v>1194</v>
      </c>
      <c r="J51" s="1067">
        <f t="shared" si="0"/>
        <v>0</v>
      </c>
    </row>
    <row r="52" spans="1:10" ht="25.5">
      <c r="A52" s="1065" t="s">
        <v>677</v>
      </c>
      <c r="B52" s="1066" t="s">
        <v>678</v>
      </c>
      <c r="C52" s="1067">
        <v>0</v>
      </c>
      <c r="D52" s="1067">
        <v>1048</v>
      </c>
      <c r="E52" s="1067"/>
      <c r="F52" s="1067"/>
      <c r="G52" s="1067"/>
      <c r="H52" s="1067"/>
      <c r="I52" s="1067">
        <f t="shared" si="0"/>
        <v>0</v>
      </c>
      <c r="J52" s="1067">
        <f t="shared" si="0"/>
        <v>1048</v>
      </c>
    </row>
    <row r="53" spans="1:10" ht="25.5">
      <c r="A53" s="1065" t="s">
        <v>679</v>
      </c>
      <c r="B53" s="1066" t="s">
        <v>680</v>
      </c>
      <c r="C53" s="1067">
        <v>4333</v>
      </c>
      <c r="D53" s="1067">
        <v>0</v>
      </c>
      <c r="E53" s="1067"/>
      <c r="F53" s="1067"/>
      <c r="G53" s="1067"/>
      <c r="H53" s="1067"/>
      <c r="I53" s="1067">
        <f t="shared" si="0"/>
        <v>4333</v>
      </c>
      <c r="J53" s="1067">
        <f t="shared" si="0"/>
        <v>0</v>
      </c>
    </row>
    <row r="54" spans="1:10" ht="12.75">
      <c r="A54" s="1068" t="s">
        <v>681</v>
      </c>
      <c r="B54" s="1069" t="s">
        <v>682</v>
      </c>
      <c r="C54" s="1070">
        <v>5266</v>
      </c>
      <c r="D54" s="1070">
        <v>1048</v>
      </c>
      <c r="E54" s="1070">
        <f>SUM(E51:E53)</f>
        <v>62</v>
      </c>
      <c r="F54" s="1070">
        <f>SUM(F51:F53)</f>
        <v>0</v>
      </c>
      <c r="G54" s="1070">
        <f>SUM(G51:G53)</f>
        <v>199</v>
      </c>
      <c r="H54" s="1070"/>
      <c r="I54" s="1070">
        <f t="shared" si="0"/>
        <v>5527</v>
      </c>
      <c r="J54" s="1070">
        <f t="shared" si="0"/>
        <v>1048</v>
      </c>
    </row>
    <row r="55" spans="1:10" ht="25.5">
      <c r="A55" s="1065" t="s">
        <v>683</v>
      </c>
      <c r="B55" s="1066" t="s">
        <v>684</v>
      </c>
      <c r="C55" s="1067">
        <v>202</v>
      </c>
      <c r="D55" s="1067">
        <v>1355</v>
      </c>
      <c r="E55" s="1067"/>
      <c r="F55" s="1067"/>
      <c r="G55" s="1067"/>
      <c r="H55" s="1067"/>
      <c r="I55" s="1067">
        <f t="shared" si="0"/>
        <v>202</v>
      </c>
      <c r="J55" s="1067">
        <f t="shared" si="0"/>
        <v>1355</v>
      </c>
    </row>
    <row r="56" spans="1:10" ht="25.5">
      <c r="A56" s="1065" t="s">
        <v>685</v>
      </c>
      <c r="B56" s="1066" t="s">
        <v>686</v>
      </c>
      <c r="C56" s="1067">
        <v>8934</v>
      </c>
      <c r="D56" s="1067">
        <v>8964</v>
      </c>
      <c r="E56" s="1067"/>
      <c r="F56" s="1067"/>
      <c r="G56" s="1067"/>
      <c r="H56" s="1067"/>
      <c r="I56" s="1067">
        <f t="shared" si="0"/>
        <v>8934</v>
      </c>
      <c r="J56" s="1067">
        <f t="shared" si="0"/>
        <v>8964</v>
      </c>
    </row>
    <row r="57" spans="1:10" ht="25.5">
      <c r="A57" s="1068" t="s">
        <v>687</v>
      </c>
      <c r="B57" s="1069" t="s">
        <v>688</v>
      </c>
      <c r="C57" s="1070">
        <v>9136</v>
      </c>
      <c r="D57" s="1070">
        <v>10319</v>
      </c>
      <c r="E57" s="1070"/>
      <c r="F57" s="1070"/>
      <c r="G57" s="1070"/>
      <c r="H57" s="1070"/>
      <c r="I57" s="1070">
        <f t="shared" si="0"/>
        <v>9136</v>
      </c>
      <c r="J57" s="1070">
        <f t="shared" si="0"/>
        <v>10319</v>
      </c>
    </row>
    <row r="58" spans="1:10" ht="12.75">
      <c r="A58" s="1065" t="s">
        <v>689</v>
      </c>
      <c r="B58" s="1066" t="s">
        <v>690</v>
      </c>
      <c r="C58" s="1067">
        <v>0</v>
      </c>
      <c r="D58" s="1067">
        <v>534</v>
      </c>
      <c r="E58" s="1067"/>
      <c r="F58" s="1067"/>
      <c r="G58" s="1067"/>
      <c r="H58" s="1067"/>
      <c r="I58" s="1067">
        <f t="shared" si="0"/>
        <v>0</v>
      </c>
      <c r="J58" s="1067">
        <f t="shared" si="0"/>
        <v>534</v>
      </c>
    </row>
    <row r="59" spans="1:10" ht="25.5">
      <c r="A59" s="1068" t="s">
        <v>691</v>
      </c>
      <c r="B59" s="1069" t="s">
        <v>692</v>
      </c>
      <c r="C59" s="1070">
        <v>0</v>
      </c>
      <c r="D59" s="1070">
        <v>534</v>
      </c>
      <c r="E59" s="1070"/>
      <c r="F59" s="1070"/>
      <c r="G59" s="1070"/>
      <c r="H59" s="1070"/>
      <c r="I59" s="1070">
        <f t="shared" si="0"/>
        <v>0</v>
      </c>
      <c r="J59" s="1070">
        <f t="shared" si="0"/>
        <v>534</v>
      </c>
    </row>
    <row r="60" spans="1:10" ht="12.75">
      <c r="A60" s="1068" t="s">
        <v>693</v>
      </c>
      <c r="B60" s="1069" t="s">
        <v>694</v>
      </c>
      <c r="C60" s="1070">
        <v>14402</v>
      </c>
      <c r="D60" s="1070">
        <v>11901</v>
      </c>
      <c r="E60" s="1070">
        <f>E59+E57+E54</f>
        <v>62</v>
      </c>
      <c r="F60" s="1070">
        <f>F59+F57+F54</f>
        <v>0</v>
      </c>
      <c r="G60" s="1070">
        <f>G59+G57+G54</f>
        <v>199</v>
      </c>
      <c r="H60" s="1070">
        <f>H59+H57+H54</f>
        <v>0</v>
      </c>
      <c r="I60" s="1070">
        <f t="shared" si="0"/>
        <v>14663</v>
      </c>
      <c r="J60" s="1070">
        <f t="shared" si="0"/>
        <v>11901</v>
      </c>
    </row>
    <row r="61" spans="1:10" ht="12.75">
      <c r="A61" s="1065" t="s">
        <v>695</v>
      </c>
      <c r="B61" s="1066" t="s">
        <v>696</v>
      </c>
      <c r="C61" s="1067">
        <v>27318</v>
      </c>
      <c r="D61" s="1067">
        <v>0</v>
      </c>
      <c r="E61" s="1067"/>
      <c r="F61" s="1067"/>
      <c r="G61" s="1067"/>
      <c r="H61" s="1067"/>
      <c r="I61" s="1067">
        <f t="shared" si="0"/>
        <v>27318</v>
      </c>
      <c r="J61" s="1067">
        <f t="shared" si="0"/>
        <v>0</v>
      </c>
    </row>
    <row r="62" spans="1:10" ht="12.75">
      <c r="A62" s="1068" t="s">
        <v>697</v>
      </c>
      <c r="B62" s="1069" t="s">
        <v>698</v>
      </c>
      <c r="C62" s="1070">
        <v>27318</v>
      </c>
      <c r="D62" s="1070">
        <v>0</v>
      </c>
      <c r="E62" s="1070"/>
      <c r="F62" s="1070"/>
      <c r="G62" s="1070"/>
      <c r="H62" s="1070"/>
      <c r="I62" s="1070">
        <f t="shared" si="0"/>
        <v>27318</v>
      </c>
      <c r="J62" s="1070">
        <f t="shared" si="0"/>
        <v>0</v>
      </c>
    </row>
    <row r="63" spans="1:10" ht="12.75">
      <c r="A63" s="1068" t="s">
        <v>699</v>
      </c>
      <c r="B63" s="1069" t="s">
        <v>700</v>
      </c>
      <c r="C63" s="1070">
        <v>1167671</v>
      </c>
      <c r="D63" s="1070">
        <v>1268232</v>
      </c>
      <c r="E63" s="1070">
        <f>E62+E60+E50</f>
        <v>1939</v>
      </c>
      <c r="F63" s="1070">
        <f>F62+F60+F50</f>
        <v>569</v>
      </c>
      <c r="G63" s="1070">
        <f>G62+G60+G50</f>
        <v>13998</v>
      </c>
      <c r="H63" s="1070">
        <f>H62+H60+H50</f>
        <v>7118</v>
      </c>
      <c r="I63" s="1070">
        <f t="shared" si="0"/>
        <v>1183608</v>
      </c>
      <c r="J63" s="1070">
        <f t="shared" si="0"/>
        <v>1275919</v>
      </c>
    </row>
  </sheetData>
  <sheetProtection/>
  <mergeCells count="7">
    <mergeCell ref="G1:J1"/>
    <mergeCell ref="C4:D4"/>
    <mergeCell ref="G4:H4"/>
    <mergeCell ref="E4:F4"/>
    <mergeCell ref="I4:J4"/>
    <mergeCell ref="A2:J2"/>
    <mergeCell ref="I3:J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77" r:id="rId1"/>
  <rowBreaks count="1" manualBreakCount="1">
    <brk id="3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55.57421875" style="753" customWidth="1"/>
    <col min="2" max="2" width="27.7109375" style="753" customWidth="1"/>
    <col min="3" max="3" width="11.140625" style="754" customWidth="1"/>
    <col min="4" max="5" width="12.28125" style="754" customWidth="1"/>
    <col min="6" max="6" width="26.8515625" style="0" customWidth="1"/>
    <col min="7" max="7" width="12.00390625" style="0" customWidth="1"/>
    <col min="8" max="8" width="16.00390625" style="0" customWidth="1"/>
    <col min="9" max="9" width="9.8515625" style="0" bestFit="1" customWidth="1"/>
  </cols>
  <sheetData>
    <row r="1" spans="6:8" ht="12.75">
      <c r="F1" s="1303" t="s">
        <v>449</v>
      </c>
      <c r="G1" s="1303"/>
      <c r="H1" s="755"/>
    </row>
    <row r="2" spans="1:8" ht="26.25" customHeight="1">
      <c r="A2" s="1304" t="s">
        <v>502</v>
      </c>
      <c r="B2" s="1304"/>
      <c r="C2" s="1304"/>
      <c r="D2" s="1304"/>
      <c r="E2" s="1304"/>
      <c r="F2" s="1304"/>
      <c r="G2" s="1304"/>
      <c r="H2" s="756"/>
    </row>
    <row r="3" spans="1:8" ht="21" customHeight="1">
      <c r="A3" s="1305" t="s">
        <v>450</v>
      </c>
      <c r="B3" s="1305"/>
      <c r="C3" s="1305"/>
      <c r="D3" s="1305"/>
      <c r="E3" s="1305"/>
      <c r="F3" s="1305"/>
      <c r="G3" s="1305"/>
      <c r="H3" s="757"/>
    </row>
    <row r="4" spans="7:8" ht="32.25" customHeight="1" thickBot="1">
      <c r="G4" s="755" t="s">
        <v>451</v>
      </c>
      <c r="H4" s="755"/>
    </row>
    <row r="5" spans="1:9" s="759" customFormat="1" ht="13.5" thickBot="1">
      <c r="A5" s="758" t="s">
        <v>4</v>
      </c>
      <c r="B5" s="1306" t="s">
        <v>452</v>
      </c>
      <c r="C5" s="1297"/>
      <c r="D5" s="1297"/>
      <c r="E5" s="1040"/>
      <c r="F5" s="1296" t="s">
        <v>453</v>
      </c>
      <c r="G5" s="1297"/>
      <c r="H5" s="1297"/>
      <c r="I5" s="1298"/>
    </row>
    <row r="6" ht="12.75">
      <c r="A6" s="20"/>
    </row>
    <row r="7" spans="1:9" ht="38.25">
      <c r="A7" s="760"/>
      <c r="B7" s="760"/>
      <c r="C7" s="923" t="s">
        <v>566</v>
      </c>
      <c r="D7" s="761" t="s">
        <v>254</v>
      </c>
      <c r="E7" s="761" t="s">
        <v>255</v>
      </c>
      <c r="F7" s="762"/>
      <c r="G7" s="923" t="s">
        <v>566</v>
      </c>
      <c r="H7" s="761" t="s">
        <v>254</v>
      </c>
      <c r="I7" s="761" t="s">
        <v>255</v>
      </c>
    </row>
    <row r="8" spans="1:9" ht="20.25" customHeight="1">
      <c r="A8" s="763" t="s">
        <v>510</v>
      </c>
      <c r="B8" s="764" t="s">
        <v>294</v>
      </c>
      <c r="C8" s="765">
        <v>28680</v>
      </c>
      <c r="D8" s="765">
        <v>28680</v>
      </c>
      <c r="E8" s="1041">
        <f>D8/C8</f>
        <v>1</v>
      </c>
      <c r="F8" s="766" t="s">
        <v>454</v>
      </c>
      <c r="G8" s="765">
        <v>41533</v>
      </c>
      <c r="H8" s="765">
        <v>38907</v>
      </c>
      <c r="I8" s="1041">
        <f>H8/G8</f>
        <v>0.9367731683239834</v>
      </c>
    </row>
    <row r="9" spans="1:9" ht="18" customHeight="1">
      <c r="A9" s="1307" t="s">
        <v>487</v>
      </c>
      <c r="B9" s="767" t="s">
        <v>460</v>
      </c>
      <c r="C9" s="768"/>
      <c r="D9" s="768">
        <v>10227</v>
      </c>
      <c r="E9" s="1041"/>
      <c r="F9" s="769"/>
      <c r="G9" s="770"/>
      <c r="H9" s="768"/>
      <c r="I9" s="1041"/>
    </row>
    <row r="10" spans="1:9" ht="18.75" customHeight="1" thickBot="1">
      <c r="A10" s="1308"/>
      <c r="B10" s="772" t="s">
        <v>456</v>
      </c>
      <c r="C10" s="773">
        <v>28721</v>
      </c>
      <c r="D10" s="773">
        <f>SUM(D8:D9)</f>
        <v>38907</v>
      </c>
      <c r="E10" s="1387">
        <f>D10/C10</f>
        <v>1.3546533895059365</v>
      </c>
      <c r="F10" s="774" t="s">
        <v>457</v>
      </c>
      <c r="G10" s="775">
        <v>41533</v>
      </c>
      <c r="H10" s="773">
        <v>38907</v>
      </c>
      <c r="I10" s="1387">
        <f>H10/G10</f>
        <v>0.9367731683239834</v>
      </c>
    </row>
    <row r="11" spans="1:8" ht="12" customHeight="1">
      <c r="A11" s="777"/>
      <c r="B11" s="778"/>
      <c r="C11" s="779"/>
      <c r="D11" s="779"/>
      <c r="E11" s="779"/>
      <c r="F11" s="780"/>
      <c r="G11" s="781"/>
      <c r="H11" s="781"/>
    </row>
    <row r="12" ht="13.5" thickBot="1"/>
    <row r="13" spans="1:9" ht="12.75">
      <c r="A13" s="782" t="s">
        <v>567</v>
      </c>
      <c r="B13" s="783" t="s">
        <v>294</v>
      </c>
      <c r="C13" s="784"/>
      <c r="D13" s="784">
        <v>3650</v>
      </c>
      <c r="E13" s="784"/>
      <c r="F13" s="785" t="s">
        <v>454</v>
      </c>
      <c r="G13" s="784"/>
      <c r="H13" s="786"/>
      <c r="I13" s="786"/>
    </row>
    <row r="14" spans="1:9" ht="12.75">
      <c r="A14" s="1307" t="s">
        <v>568</v>
      </c>
      <c r="B14" s="1312" t="s">
        <v>455</v>
      </c>
      <c r="C14" s="1314"/>
      <c r="D14" s="1314"/>
      <c r="E14" s="787"/>
      <c r="F14" s="1299"/>
      <c r="G14" s="1301"/>
      <c r="H14" s="1295"/>
      <c r="I14" s="1295"/>
    </row>
    <row r="15" spans="1:9" ht="12.75">
      <c r="A15" s="1311"/>
      <c r="B15" s="1313"/>
      <c r="C15" s="1315"/>
      <c r="D15" s="1315"/>
      <c r="E15" s="788"/>
      <c r="F15" s="1300"/>
      <c r="G15" s="1302"/>
      <c r="H15" s="1295"/>
      <c r="I15" s="1295"/>
    </row>
    <row r="16" spans="1:9" ht="13.5" thickBot="1">
      <c r="A16" s="1308"/>
      <c r="B16" s="789" t="s">
        <v>456</v>
      </c>
      <c r="C16" s="773"/>
      <c r="D16" s="773">
        <v>3650</v>
      </c>
      <c r="E16" s="773"/>
      <c r="F16" s="774" t="s">
        <v>457</v>
      </c>
      <c r="G16" s="775"/>
      <c r="H16" s="1046"/>
      <c r="I16" s="1046"/>
    </row>
    <row r="17" spans="1:8" ht="12.75">
      <c r="A17" s="777"/>
      <c r="B17" s="790"/>
      <c r="C17" s="779"/>
      <c r="D17" s="779"/>
      <c r="E17" s="779"/>
      <c r="F17" s="780"/>
      <c r="G17" s="781"/>
      <c r="H17" s="781"/>
    </row>
    <row r="18" ht="13.5" hidden="1" thickBot="1"/>
    <row r="19" spans="1:8" ht="12.75" hidden="1">
      <c r="A19" s="791"/>
      <c r="B19" s="792" t="s">
        <v>458</v>
      </c>
      <c r="C19" s="793"/>
      <c r="D19" s="793"/>
      <c r="E19" s="793"/>
      <c r="F19" s="794" t="s">
        <v>454</v>
      </c>
      <c r="G19" s="795"/>
      <c r="H19" s="795"/>
    </row>
    <row r="20" spans="1:8" ht="12.75" hidden="1">
      <c r="A20" s="1307"/>
      <c r="B20" s="796" t="s">
        <v>455</v>
      </c>
      <c r="C20" s="797"/>
      <c r="D20" s="797"/>
      <c r="E20" s="797"/>
      <c r="F20" s="798"/>
      <c r="G20" s="799"/>
      <c r="H20" s="799"/>
    </row>
    <row r="21" spans="1:8" ht="25.5" hidden="1">
      <c r="A21" s="1311"/>
      <c r="B21" s="767" t="s">
        <v>459</v>
      </c>
      <c r="C21" s="768"/>
      <c r="D21" s="768"/>
      <c r="E21" s="768"/>
      <c r="F21" s="769"/>
      <c r="G21" s="771"/>
      <c r="H21" s="771"/>
    </row>
    <row r="22" spans="1:8" ht="13.5" hidden="1" thickBot="1">
      <c r="A22" s="1308"/>
      <c r="B22" s="772" t="s">
        <v>456</v>
      </c>
      <c r="C22" s="773"/>
      <c r="D22" s="773"/>
      <c r="E22" s="773"/>
      <c r="F22" s="774" t="s">
        <v>457</v>
      </c>
      <c r="G22" s="776"/>
      <c r="H22" s="776"/>
    </row>
    <row r="24" spans="1:8" ht="12.75" hidden="1">
      <c r="A24" s="782"/>
      <c r="B24" s="783" t="s">
        <v>294</v>
      </c>
      <c r="C24" s="784"/>
      <c r="D24" s="784"/>
      <c r="E24" s="784"/>
      <c r="F24" s="785" t="s">
        <v>454</v>
      </c>
      <c r="G24" s="786"/>
      <c r="H24" s="800"/>
    </row>
    <row r="25" spans="1:8" ht="12.75" hidden="1">
      <c r="A25" s="1307"/>
      <c r="B25" s="1312" t="s">
        <v>460</v>
      </c>
      <c r="C25" s="1314"/>
      <c r="D25" s="787"/>
      <c r="E25" s="787"/>
      <c r="F25" s="1299"/>
      <c r="G25" s="1309"/>
      <c r="H25" s="801"/>
    </row>
    <row r="26" spans="1:8" ht="12.75" hidden="1">
      <c r="A26" s="1311"/>
      <c r="B26" s="1313"/>
      <c r="C26" s="1315"/>
      <c r="D26" s="788"/>
      <c r="E26" s="788"/>
      <c r="F26" s="1300"/>
      <c r="G26" s="1310"/>
      <c r="H26" s="801"/>
    </row>
    <row r="27" spans="1:8" ht="13.5" hidden="1" thickBot="1">
      <c r="A27" s="1308"/>
      <c r="B27" s="789" t="s">
        <v>456</v>
      </c>
      <c r="C27" s="773"/>
      <c r="D27" s="773"/>
      <c r="E27" s="773"/>
      <c r="F27" s="774" t="s">
        <v>457</v>
      </c>
      <c r="G27" s="776"/>
      <c r="H27" s="781"/>
    </row>
    <row r="28" ht="12.75" hidden="1"/>
  </sheetData>
  <sheetProtection/>
  <mergeCells count="20">
    <mergeCell ref="F25:F26"/>
    <mergeCell ref="G25:G26"/>
    <mergeCell ref="A14:A16"/>
    <mergeCell ref="B14:B15"/>
    <mergeCell ref="C14:C15"/>
    <mergeCell ref="A20:A22"/>
    <mergeCell ref="A25:A27"/>
    <mergeCell ref="B25:B26"/>
    <mergeCell ref="C25:C26"/>
    <mergeCell ref="D14:D15"/>
    <mergeCell ref="H14:H15"/>
    <mergeCell ref="F5:I5"/>
    <mergeCell ref="I14:I15"/>
    <mergeCell ref="F14:F15"/>
    <mergeCell ref="G14:G15"/>
    <mergeCell ref="F1:G1"/>
    <mergeCell ref="A2:G2"/>
    <mergeCell ref="A3:G3"/>
    <mergeCell ref="B5:D5"/>
    <mergeCell ref="A9:A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31">
      <selection activeCell="R51" sqref="R51"/>
    </sheetView>
  </sheetViews>
  <sheetFormatPr defaultColWidth="9.140625" defaultRowHeight="12.75"/>
  <cols>
    <col min="1" max="1" width="76.00390625" style="612" customWidth="1"/>
    <col min="2" max="2" width="15.7109375" style="612" customWidth="1"/>
    <col min="3" max="3" width="13.140625" style="612" hidden="1" customWidth="1"/>
    <col min="4" max="4" width="13.28125" style="612" hidden="1" customWidth="1"/>
    <col min="5" max="5" width="12.140625" style="612" hidden="1" customWidth="1"/>
    <col min="6" max="6" width="14.421875" style="612" hidden="1" customWidth="1"/>
    <col min="7" max="7" width="11.57421875" style="612" hidden="1" customWidth="1"/>
    <col min="8" max="9" width="0" style="612" hidden="1" customWidth="1"/>
    <col min="10" max="10" width="9.140625" style="612" hidden="1" customWidth="1"/>
    <col min="11" max="14" width="9.140625" style="612" customWidth="1"/>
    <col min="15" max="15" width="13.28125" style="612" customWidth="1"/>
    <col min="16" max="16" width="9.140625" style="612" hidden="1" customWidth="1"/>
    <col min="17" max="16384" width="9.140625" style="612" customWidth="1"/>
  </cols>
  <sheetData>
    <row r="1" spans="1:6" ht="21" customHeight="1">
      <c r="A1" s="1330" t="s">
        <v>710</v>
      </c>
      <c r="B1" s="1330"/>
      <c r="C1" s="1330"/>
      <c r="D1" s="1330"/>
      <c r="E1" s="1330"/>
      <c r="F1" s="1330"/>
    </row>
    <row r="2" spans="1:4" s="613" customFormat="1" ht="51.75" customHeight="1">
      <c r="A2" s="1329" t="s">
        <v>503</v>
      </c>
      <c r="B2" s="1329"/>
      <c r="C2" s="1329"/>
      <c r="D2" s="1329"/>
    </row>
    <row r="3" spans="1:6" ht="15.75" customHeight="1" thickBot="1">
      <c r="A3" s="614"/>
      <c r="E3" s="615"/>
      <c r="F3" s="672" t="s">
        <v>383</v>
      </c>
    </row>
    <row r="4" spans="1:16" s="618" customFormat="1" ht="55.5" customHeight="1" thickBot="1">
      <c r="A4" s="616" t="s">
        <v>272</v>
      </c>
      <c r="B4" s="636" t="s">
        <v>273</v>
      </c>
      <c r="C4" s="636" t="s">
        <v>244</v>
      </c>
      <c r="D4" s="636" t="s">
        <v>249</v>
      </c>
      <c r="E4" s="617" t="s">
        <v>464</v>
      </c>
      <c r="F4" s="636" t="s">
        <v>465</v>
      </c>
      <c r="G4" s="636" t="s">
        <v>252</v>
      </c>
      <c r="H4" s="636" t="s">
        <v>249</v>
      </c>
      <c r="I4" s="636" t="s">
        <v>252</v>
      </c>
      <c r="J4" s="636" t="s">
        <v>537</v>
      </c>
      <c r="K4" s="636" t="s">
        <v>549</v>
      </c>
      <c r="L4" s="636" t="s">
        <v>569</v>
      </c>
      <c r="M4" s="636" t="s">
        <v>570</v>
      </c>
      <c r="N4" s="636" t="s">
        <v>571</v>
      </c>
      <c r="O4" s="636" t="s">
        <v>572</v>
      </c>
      <c r="P4" s="636" t="s">
        <v>527</v>
      </c>
    </row>
    <row r="5" spans="1:16" s="620" customFormat="1" ht="21" customHeight="1">
      <c r="A5" s="619" t="s">
        <v>274</v>
      </c>
      <c r="B5" s="637">
        <v>90666</v>
      </c>
      <c r="C5" s="637">
        <v>90666</v>
      </c>
      <c r="D5" s="637"/>
      <c r="E5" s="1331"/>
      <c r="F5" s="1318"/>
      <c r="G5" s="637"/>
      <c r="H5" s="637">
        <v>90666</v>
      </c>
      <c r="I5" s="637">
        <v>90666</v>
      </c>
      <c r="J5" s="637">
        <v>90666</v>
      </c>
      <c r="K5" s="637">
        <v>90666</v>
      </c>
      <c r="L5" s="637">
        <v>90666</v>
      </c>
      <c r="M5" s="637">
        <v>90666</v>
      </c>
      <c r="N5" s="637">
        <v>90666</v>
      </c>
      <c r="O5" s="1369">
        <f aca="true" t="shared" si="0" ref="O5:O28">M5-L5</f>
        <v>0</v>
      </c>
      <c r="P5" s="941">
        <f>L5/K5</f>
        <v>1</v>
      </c>
    </row>
    <row r="6" spans="1:16" s="620" customFormat="1" ht="21" customHeight="1">
      <c r="A6" s="621" t="s">
        <v>275</v>
      </c>
      <c r="B6" s="638">
        <v>0</v>
      </c>
      <c r="C6" s="638">
        <v>0</v>
      </c>
      <c r="D6" s="638">
        <v>0</v>
      </c>
      <c r="E6" s="1332"/>
      <c r="F6" s="1319"/>
      <c r="G6" s="638">
        <v>0</v>
      </c>
      <c r="H6" s="638">
        <v>0</v>
      </c>
      <c r="I6" s="638">
        <v>0</v>
      </c>
      <c r="J6" s="638">
        <v>0</v>
      </c>
      <c r="K6" s="638">
        <v>0</v>
      </c>
      <c r="L6" s="638">
        <v>0</v>
      </c>
      <c r="M6" s="638">
        <v>0</v>
      </c>
      <c r="N6" s="638">
        <v>0</v>
      </c>
      <c r="O6" s="1370">
        <f t="shared" si="0"/>
        <v>0</v>
      </c>
      <c r="P6" s="1321"/>
    </row>
    <row r="7" spans="1:16" s="620" customFormat="1" ht="21" customHeight="1">
      <c r="A7" s="621" t="s">
        <v>276</v>
      </c>
      <c r="B7" s="638">
        <v>0</v>
      </c>
      <c r="C7" s="638">
        <v>0</v>
      </c>
      <c r="D7" s="638">
        <v>0</v>
      </c>
      <c r="E7" s="1332"/>
      <c r="F7" s="1319"/>
      <c r="G7" s="638">
        <v>0</v>
      </c>
      <c r="H7" s="638">
        <v>0</v>
      </c>
      <c r="I7" s="638">
        <v>0</v>
      </c>
      <c r="J7" s="638">
        <v>0</v>
      </c>
      <c r="K7" s="638">
        <v>0</v>
      </c>
      <c r="L7" s="638">
        <v>0</v>
      </c>
      <c r="M7" s="638">
        <v>0</v>
      </c>
      <c r="N7" s="638">
        <v>0</v>
      </c>
      <c r="O7" s="1370">
        <f t="shared" si="0"/>
        <v>0</v>
      </c>
      <c r="P7" s="1322"/>
    </row>
    <row r="8" spans="1:16" s="620" customFormat="1" ht="21" customHeight="1">
      <c r="A8" s="621" t="s">
        <v>277</v>
      </c>
      <c r="B8" s="638">
        <v>0</v>
      </c>
      <c r="C8" s="638">
        <v>0</v>
      </c>
      <c r="D8" s="638">
        <v>0</v>
      </c>
      <c r="E8" s="1332"/>
      <c r="F8" s="1319"/>
      <c r="G8" s="638">
        <v>0</v>
      </c>
      <c r="H8" s="638">
        <v>0</v>
      </c>
      <c r="I8" s="638">
        <v>0</v>
      </c>
      <c r="J8" s="638">
        <v>0</v>
      </c>
      <c r="K8" s="638">
        <v>0</v>
      </c>
      <c r="L8" s="638">
        <v>0</v>
      </c>
      <c r="M8" s="638">
        <v>0</v>
      </c>
      <c r="N8" s="638">
        <v>0</v>
      </c>
      <c r="O8" s="1370">
        <f t="shared" si="0"/>
        <v>0</v>
      </c>
      <c r="P8" s="1322"/>
    </row>
    <row r="9" spans="1:16" s="620" customFormat="1" ht="21" customHeight="1">
      <c r="A9" s="622" t="s">
        <v>278</v>
      </c>
      <c r="B9" s="638">
        <v>0</v>
      </c>
      <c r="C9" s="638">
        <v>0</v>
      </c>
      <c r="D9" s="638">
        <v>0</v>
      </c>
      <c r="E9" s="1332"/>
      <c r="F9" s="1319"/>
      <c r="G9" s="638">
        <v>0</v>
      </c>
      <c r="H9" s="638">
        <v>0</v>
      </c>
      <c r="I9" s="638">
        <v>0</v>
      </c>
      <c r="J9" s="638">
        <v>0</v>
      </c>
      <c r="K9" s="638">
        <v>0</v>
      </c>
      <c r="L9" s="638">
        <v>0</v>
      </c>
      <c r="M9" s="638">
        <v>0</v>
      </c>
      <c r="N9" s="638">
        <v>0</v>
      </c>
      <c r="O9" s="1370">
        <f t="shared" si="0"/>
        <v>0</v>
      </c>
      <c r="P9" s="1322"/>
    </row>
    <row r="10" spans="1:16" s="620" customFormat="1" ht="21" customHeight="1">
      <c r="A10" s="619" t="s">
        <v>279</v>
      </c>
      <c r="B10" s="639">
        <f>SUM(B6:B9)</f>
        <v>0</v>
      </c>
      <c r="C10" s="639">
        <f>SUM(C6:C9)</f>
        <v>0</v>
      </c>
      <c r="D10" s="639">
        <f>SUM(D6:D9)</f>
        <v>0</v>
      </c>
      <c r="E10" s="1332"/>
      <c r="F10" s="1319"/>
      <c r="G10" s="639">
        <f aca="true" t="shared" si="1" ref="G10:N10">SUM(G6:G9)</f>
        <v>0</v>
      </c>
      <c r="H10" s="639">
        <f t="shared" si="1"/>
        <v>0</v>
      </c>
      <c r="I10" s="639">
        <f t="shared" si="1"/>
        <v>0</v>
      </c>
      <c r="J10" s="639">
        <f t="shared" si="1"/>
        <v>0</v>
      </c>
      <c r="K10" s="639">
        <f t="shared" si="1"/>
        <v>0</v>
      </c>
      <c r="L10" s="639">
        <f t="shared" si="1"/>
        <v>0</v>
      </c>
      <c r="M10" s="639">
        <f t="shared" si="1"/>
        <v>0</v>
      </c>
      <c r="N10" s="639">
        <f t="shared" si="1"/>
        <v>0</v>
      </c>
      <c r="O10" s="1371">
        <f t="shared" si="0"/>
        <v>0</v>
      </c>
      <c r="P10" s="1322"/>
    </row>
    <row r="11" spans="1:16" s="620" customFormat="1" ht="21" customHeight="1" hidden="1">
      <c r="A11" s="623" t="s">
        <v>280</v>
      </c>
      <c r="B11" s="639"/>
      <c r="C11" s="639"/>
      <c r="D11" s="639"/>
      <c r="E11" s="1332"/>
      <c r="F11" s="1319"/>
      <c r="G11" s="639"/>
      <c r="H11" s="639"/>
      <c r="I11" s="639"/>
      <c r="J11" s="639"/>
      <c r="K11" s="639"/>
      <c r="L11" s="639"/>
      <c r="M11" s="639"/>
      <c r="N11" s="639"/>
      <c r="O11" s="1371">
        <f t="shared" si="0"/>
        <v>0</v>
      </c>
      <c r="P11" s="1322"/>
    </row>
    <row r="12" spans="1:16" s="620" customFormat="1" ht="21" customHeight="1">
      <c r="A12" s="624" t="s">
        <v>376</v>
      </c>
      <c r="B12" s="639">
        <v>0</v>
      </c>
      <c r="C12" s="639">
        <v>0</v>
      </c>
      <c r="D12" s="639"/>
      <c r="E12" s="1332"/>
      <c r="F12" s="1319"/>
      <c r="G12" s="639"/>
      <c r="H12" s="639">
        <v>0</v>
      </c>
      <c r="I12" s="639">
        <v>0</v>
      </c>
      <c r="J12" s="639">
        <v>0</v>
      </c>
      <c r="K12" s="639">
        <v>0</v>
      </c>
      <c r="L12" s="639">
        <v>0</v>
      </c>
      <c r="M12" s="639">
        <v>0</v>
      </c>
      <c r="N12" s="639">
        <v>0</v>
      </c>
      <c r="O12" s="1371">
        <f t="shared" si="0"/>
        <v>0</v>
      </c>
      <c r="P12" s="1322"/>
    </row>
    <row r="13" spans="1:16" s="620" customFormat="1" ht="21" customHeight="1" thickBot="1">
      <c r="A13" s="623" t="s">
        <v>284</v>
      </c>
      <c r="B13" s="671">
        <v>0</v>
      </c>
      <c r="C13" s="671">
        <v>0</v>
      </c>
      <c r="D13" s="671"/>
      <c r="E13" s="1333"/>
      <c r="F13" s="1320"/>
      <c r="G13" s="671"/>
      <c r="H13" s="671">
        <v>0</v>
      </c>
      <c r="I13" s="671">
        <v>0</v>
      </c>
      <c r="J13" s="671">
        <v>0</v>
      </c>
      <c r="K13" s="671">
        <v>0</v>
      </c>
      <c r="L13" s="671">
        <v>0</v>
      </c>
      <c r="M13" s="671">
        <v>0</v>
      </c>
      <c r="N13" s="671">
        <v>0</v>
      </c>
      <c r="O13" s="1372">
        <f t="shared" si="0"/>
        <v>0</v>
      </c>
      <c r="P13" s="1323"/>
    </row>
    <row r="14" spans="1:16" s="620" customFormat="1" ht="21" customHeight="1" thickBot="1">
      <c r="A14" s="917" t="s">
        <v>514</v>
      </c>
      <c r="B14" s="918"/>
      <c r="C14" s="918">
        <v>633</v>
      </c>
      <c r="D14" s="918"/>
      <c r="E14" s="913"/>
      <c r="F14" s="916"/>
      <c r="G14" s="918"/>
      <c r="H14" s="918">
        <v>633</v>
      </c>
      <c r="I14" s="918">
        <v>633</v>
      </c>
      <c r="J14" s="918">
        <v>633</v>
      </c>
      <c r="K14" s="918">
        <v>633</v>
      </c>
      <c r="L14" s="918">
        <v>633</v>
      </c>
      <c r="M14" s="918">
        <v>633</v>
      </c>
      <c r="N14" s="918">
        <v>633</v>
      </c>
      <c r="O14" s="1373">
        <f t="shared" si="0"/>
        <v>0</v>
      </c>
      <c r="P14" s="1045">
        <f>L14/K14</f>
        <v>1</v>
      </c>
    </row>
    <row r="15" spans="1:16" s="626" customFormat="1" ht="24.75" customHeight="1" thickBot="1">
      <c r="A15" s="625" t="s">
        <v>375</v>
      </c>
      <c r="B15" s="640">
        <f>B5+B10-B11+B12+B13</f>
        <v>90666</v>
      </c>
      <c r="C15" s="640">
        <f>C5+C10-C11+C12+C13+C14</f>
        <v>91299</v>
      </c>
      <c r="D15" s="640">
        <f>D5+D10-D11+D12+D13</f>
        <v>0</v>
      </c>
      <c r="E15" s="640">
        <v>49269</v>
      </c>
      <c r="F15" s="802" t="e">
        <f>E15/D15</f>
        <v>#DIV/0!</v>
      </c>
      <c r="G15" s="640">
        <f>G5+G10-G11+G12+G13</f>
        <v>0</v>
      </c>
      <c r="H15" s="640">
        <f aca="true" t="shared" si="2" ref="H15:N15">H5+H10-H11+H12+H13+H14</f>
        <v>91299</v>
      </c>
      <c r="I15" s="640">
        <f t="shared" si="2"/>
        <v>91299</v>
      </c>
      <c r="J15" s="640">
        <f t="shared" si="2"/>
        <v>91299</v>
      </c>
      <c r="K15" s="640">
        <f t="shared" si="2"/>
        <v>91299</v>
      </c>
      <c r="L15" s="640">
        <f t="shared" si="2"/>
        <v>91299</v>
      </c>
      <c r="M15" s="640">
        <f t="shared" si="2"/>
        <v>91299</v>
      </c>
      <c r="N15" s="640">
        <f t="shared" si="2"/>
        <v>91299</v>
      </c>
      <c r="O15" s="1374">
        <f t="shared" si="0"/>
        <v>0</v>
      </c>
      <c r="P15" s="1045">
        <f>L15/K15</f>
        <v>1</v>
      </c>
    </row>
    <row r="16" spans="1:16" ht="24.75" customHeight="1">
      <c r="A16" s="627" t="s">
        <v>281</v>
      </c>
      <c r="B16" s="637">
        <v>31681</v>
      </c>
      <c r="C16" s="637">
        <v>31681</v>
      </c>
      <c r="D16" s="637"/>
      <c r="E16" s="1340"/>
      <c r="F16" s="1316"/>
      <c r="G16" s="637"/>
      <c r="H16" s="637">
        <v>31681</v>
      </c>
      <c r="I16" s="637">
        <v>31681</v>
      </c>
      <c r="J16" s="637">
        <f>31681+1812</f>
        <v>33493</v>
      </c>
      <c r="K16" s="637">
        <f>31681+1812-775</f>
        <v>32718</v>
      </c>
      <c r="L16" s="637">
        <f>31681+1812-775</f>
        <v>32718</v>
      </c>
      <c r="M16" s="637">
        <v>32210</v>
      </c>
      <c r="N16" s="637">
        <v>32210</v>
      </c>
      <c r="O16" s="1369">
        <f t="shared" si="0"/>
        <v>-508</v>
      </c>
      <c r="P16" s="1324"/>
    </row>
    <row r="17" spans="1:16" ht="24.75" customHeight="1" thickBot="1">
      <c r="A17" s="623" t="s">
        <v>282</v>
      </c>
      <c r="B17" s="639">
        <v>3943</v>
      </c>
      <c r="C17" s="639">
        <v>3943</v>
      </c>
      <c r="D17" s="639"/>
      <c r="E17" s="1341"/>
      <c r="F17" s="1317"/>
      <c r="G17" s="639"/>
      <c r="H17" s="639">
        <v>3943</v>
      </c>
      <c r="I17" s="639">
        <v>3943</v>
      </c>
      <c r="J17" s="639">
        <f>3943+210</f>
        <v>4153</v>
      </c>
      <c r="K17" s="639">
        <f>3943+210-47</f>
        <v>4106</v>
      </c>
      <c r="L17" s="639">
        <f>3943+210-47</f>
        <v>4106</v>
      </c>
      <c r="M17" s="639">
        <v>4106</v>
      </c>
      <c r="N17" s="639">
        <v>4106</v>
      </c>
      <c r="O17" s="1371">
        <f t="shared" si="0"/>
        <v>0</v>
      </c>
      <c r="P17" s="1325"/>
    </row>
    <row r="18" spans="1:16" s="626" customFormat="1" ht="24.75" customHeight="1" thickBot="1">
      <c r="A18" s="628" t="s">
        <v>377</v>
      </c>
      <c r="B18" s="641">
        <f>SUM(B16:B17)</f>
        <v>35624</v>
      </c>
      <c r="C18" s="641">
        <f>SUM(C16:C17)</f>
        <v>35624</v>
      </c>
      <c r="D18" s="641">
        <f>SUM(D16:D17)</f>
        <v>0</v>
      </c>
      <c r="E18" s="880">
        <v>21485</v>
      </c>
      <c r="F18" s="803" t="e">
        <f>E18/D18</f>
        <v>#DIV/0!</v>
      </c>
      <c r="G18" s="641">
        <f aca="true" t="shared" si="3" ref="G18:N18">SUM(G16:G17)</f>
        <v>0</v>
      </c>
      <c r="H18" s="641">
        <f t="shared" si="3"/>
        <v>35624</v>
      </c>
      <c r="I18" s="641">
        <f t="shared" si="3"/>
        <v>35624</v>
      </c>
      <c r="J18" s="641">
        <f t="shared" si="3"/>
        <v>37646</v>
      </c>
      <c r="K18" s="641">
        <f t="shared" si="3"/>
        <v>36824</v>
      </c>
      <c r="L18" s="641">
        <f t="shared" si="3"/>
        <v>36824</v>
      </c>
      <c r="M18" s="641">
        <f t="shared" si="3"/>
        <v>36316</v>
      </c>
      <c r="N18" s="641">
        <f t="shared" si="3"/>
        <v>36316</v>
      </c>
      <c r="O18" s="1375">
        <f t="shared" si="0"/>
        <v>-508</v>
      </c>
      <c r="P18" s="941">
        <f>L18/K18</f>
        <v>1</v>
      </c>
    </row>
    <row r="19" spans="1:16" ht="24.75" customHeight="1">
      <c r="A19" s="629" t="s">
        <v>283</v>
      </c>
      <c r="B19" s="642">
        <v>2898</v>
      </c>
      <c r="C19" s="642">
        <v>2898</v>
      </c>
      <c r="D19" s="642"/>
      <c r="E19" s="642"/>
      <c r="F19" s="804"/>
      <c r="G19" s="642"/>
      <c r="H19" s="642">
        <v>2898</v>
      </c>
      <c r="I19" s="642">
        <v>2898</v>
      </c>
      <c r="J19" s="642">
        <v>2898</v>
      </c>
      <c r="K19" s="642">
        <f>2898-942</f>
        <v>1956</v>
      </c>
      <c r="L19" s="642">
        <f>2898-942</f>
        <v>1956</v>
      </c>
      <c r="M19" s="642">
        <f>2898-942</f>
        <v>1956</v>
      </c>
      <c r="N19" s="642">
        <f>2898-942</f>
        <v>1956</v>
      </c>
      <c r="O19" s="1376">
        <f t="shared" si="0"/>
        <v>0</v>
      </c>
      <c r="P19" s="1326"/>
    </row>
    <row r="20" spans="1:16" ht="24.75" customHeight="1">
      <c r="A20" s="621" t="s">
        <v>285</v>
      </c>
      <c r="B20" s="643">
        <v>25152</v>
      </c>
      <c r="C20" s="643">
        <v>25152</v>
      </c>
      <c r="D20" s="643"/>
      <c r="E20" s="1334"/>
      <c r="F20" s="1337"/>
      <c r="G20" s="643"/>
      <c r="H20" s="643">
        <v>25152</v>
      </c>
      <c r="I20" s="643">
        <v>25152</v>
      </c>
      <c r="J20" s="643">
        <v>25152</v>
      </c>
      <c r="K20" s="643">
        <v>25152</v>
      </c>
      <c r="L20" s="643">
        <v>25152</v>
      </c>
      <c r="M20" s="643">
        <v>25152</v>
      </c>
      <c r="N20" s="643">
        <v>25152</v>
      </c>
      <c r="O20" s="1377">
        <f t="shared" si="0"/>
        <v>0</v>
      </c>
      <c r="P20" s="1327"/>
    </row>
    <row r="21" spans="1:16" ht="24.75" customHeight="1">
      <c r="A21" s="622" t="s">
        <v>286</v>
      </c>
      <c r="B21" s="643">
        <v>9593</v>
      </c>
      <c r="C21" s="643">
        <v>9593</v>
      </c>
      <c r="D21" s="643"/>
      <c r="E21" s="1335"/>
      <c r="F21" s="1338"/>
      <c r="G21" s="643"/>
      <c r="H21" s="643">
        <v>9593</v>
      </c>
      <c r="I21" s="643">
        <v>9593</v>
      </c>
      <c r="J21" s="643">
        <v>9593</v>
      </c>
      <c r="K21" s="643">
        <v>9593</v>
      </c>
      <c r="L21" s="643">
        <v>9593</v>
      </c>
      <c r="M21" s="643">
        <v>9593</v>
      </c>
      <c r="N21" s="643">
        <v>9593</v>
      </c>
      <c r="O21" s="1377">
        <f t="shared" si="0"/>
        <v>0</v>
      </c>
      <c r="P21" s="1327"/>
    </row>
    <row r="22" spans="1:16" ht="24.75" customHeight="1">
      <c r="A22" s="621" t="s">
        <v>287</v>
      </c>
      <c r="B22" s="643">
        <v>15224</v>
      </c>
      <c r="C22" s="643">
        <v>15224</v>
      </c>
      <c r="D22" s="643"/>
      <c r="E22" s="1335"/>
      <c r="F22" s="1338"/>
      <c r="G22" s="643"/>
      <c r="H22" s="643">
        <v>15224</v>
      </c>
      <c r="I22" s="643">
        <v>15224</v>
      </c>
      <c r="J22" s="643">
        <v>15224</v>
      </c>
      <c r="K22" s="643">
        <f>15224-913</f>
        <v>14311</v>
      </c>
      <c r="L22" s="643">
        <f>15224-913</f>
        <v>14311</v>
      </c>
      <c r="M22" s="643">
        <v>14432</v>
      </c>
      <c r="N22" s="643">
        <v>14432</v>
      </c>
      <c r="O22" s="1377">
        <f t="shared" si="0"/>
        <v>121</v>
      </c>
      <c r="P22" s="1327"/>
    </row>
    <row r="23" spans="1:16" ht="24.75" customHeight="1">
      <c r="A23" s="621" t="s">
        <v>288</v>
      </c>
      <c r="B23" s="643">
        <v>44297</v>
      </c>
      <c r="C23" s="643">
        <v>44297</v>
      </c>
      <c r="D23" s="643"/>
      <c r="E23" s="1335"/>
      <c r="F23" s="1338"/>
      <c r="G23" s="643"/>
      <c r="H23" s="643">
        <v>44297</v>
      </c>
      <c r="I23" s="643">
        <v>44297</v>
      </c>
      <c r="J23" s="643">
        <v>44297</v>
      </c>
      <c r="K23" s="643">
        <f>44297-566</f>
        <v>43731</v>
      </c>
      <c r="L23" s="643">
        <f>44297-566</f>
        <v>43731</v>
      </c>
      <c r="M23" s="643">
        <v>44109</v>
      </c>
      <c r="N23" s="643">
        <v>44109</v>
      </c>
      <c r="O23" s="1377">
        <f t="shared" si="0"/>
        <v>378</v>
      </c>
      <c r="P23" s="1327"/>
    </row>
    <row r="24" spans="1:16" ht="24.75" customHeight="1">
      <c r="A24" s="622" t="s">
        <v>289</v>
      </c>
      <c r="B24" s="643">
        <v>9414</v>
      </c>
      <c r="C24" s="643">
        <v>9414</v>
      </c>
      <c r="D24" s="643"/>
      <c r="E24" s="1335"/>
      <c r="F24" s="1338"/>
      <c r="G24" s="643"/>
      <c r="H24" s="643">
        <v>9414</v>
      </c>
      <c r="I24" s="643">
        <v>9414</v>
      </c>
      <c r="J24" s="643">
        <v>9414</v>
      </c>
      <c r="K24" s="643">
        <f>9414-697</f>
        <v>8717</v>
      </c>
      <c r="L24" s="643">
        <f>9414-697</f>
        <v>8717</v>
      </c>
      <c r="M24" s="643">
        <v>8368</v>
      </c>
      <c r="N24" s="643">
        <v>8368</v>
      </c>
      <c r="O24" s="1377">
        <f t="shared" si="0"/>
        <v>-349</v>
      </c>
      <c r="P24" s="1327"/>
    </row>
    <row r="25" spans="1:16" s="630" customFormat="1" ht="24.75" customHeight="1">
      <c r="A25" s="666" t="s">
        <v>290</v>
      </c>
      <c r="B25" s="667">
        <f>SUM(B20,B22:B24)</f>
        <v>94087</v>
      </c>
      <c r="C25" s="667">
        <f>SUM(C20,C22:C24)</f>
        <v>94087</v>
      </c>
      <c r="D25" s="667">
        <f>SUM(D20,D22:D24)</f>
        <v>0</v>
      </c>
      <c r="E25" s="1335"/>
      <c r="F25" s="1338"/>
      <c r="G25" s="667">
        <f aca="true" t="shared" si="4" ref="G25:N25">SUM(G20,G22:G24)</f>
        <v>0</v>
      </c>
      <c r="H25" s="667">
        <f t="shared" si="4"/>
        <v>94087</v>
      </c>
      <c r="I25" s="667">
        <f t="shared" si="4"/>
        <v>94087</v>
      </c>
      <c r="J25" s="667">
        <f t="shared" si="4"/>
        <v>94087</v>
      </c>
      <c r="K25" s="667">
        <f t="shared" si="4"/>
        <v>91911</v>
      </c>
      <c r="L25" s="667">
        <f t="shared" si="4"/>
        <v>91911</v>
      </c>
      <c r="M25" s="667">
        <f t="shared" si="4"/>
        <v>92061</v>
      </c>
      <c r="N25" s="667">
        <f t="shared" si="4"/>
        <v>92061</v>
      </c>
      <c r="O25" s="1378">
        <f t="shared" si="0"/>
        <v>150</v>
      </c>
      <c r="P25" s="1327"/>
    </row>
    <row r="26" spans="1:16" s="630" customFormat="1" ht="24.75" customHeight="1">
      <c r="A26" s="668" t="s">
        <v>380</v>
      </c>
      <c r="B26" s="643">
        <v>11375</v>
      </c>
      <c r="C26" s="643">
        <v>11375</v>
      </c>
      <c r="D26" s="643"/>
      <c r="E26" s="1335"/>
      <c r="F26" s="1338"/>
      <c r="G26" s="643"/>
      <c r="H26" s="643">
        <v>11375</v>
      </c>
      <c r="I26" s="643">
        <v>11375</v>
      </c>
      <c r="J26" s="643">
        <f>11375-783</f>
        <v>10592</v>
      </c>
      <c r="K26" s="643">
        <v>11065</v>
      </c>
      <c r="L26" s="643">
        <v>11065</v>
      </c>
      <c r="M26" s="643">
        <f>11065-294</f>
        <v>10771</v>
      </c>
      <c r="N26" s="643">
        <f>11065-294</f>
        <v>10771</v>
      </c>
      <c r="O26" s="1377">
        <f t="shared" si="0"/>
        <v>-294</v>
      </c>
      <c r="P26" s="1327"/>
    </row>
    <row r="27" spans="1:16" s="630" customFormat="1" ht="24.75" customHeight="1">
      <c r="A27" s="668" t="s">
        <v>379</v>
      </c>
      <c r="B27" s="643">
        <v>1364</v>
      </c>
      <c r="C27" s="643">
        <v>1364</v>
      </c>
      <c r="D27" s="643"/>
      <c r="E27" s="1335"/>
      <c r="F27" s="1338"/>
      <c r="G27" s="643"/>
      <c r="H27" s="643">
        <v>1364</v>
      </c>
      <c r="I27" s="643">
        <v>1364</v>
      </c>
      <c r="J27" s="643">
        <f>1364+399</f>
        <v>1763</v>
      </c>
      <c r="K27" s="643">
        <v>1924</v>
      </c>
      <c r="L27" s="643">
        <v>1924</v>
      </c>
      <c r="M27" s="643">
        <v>1924</v>
      </c>
      <c r="N27" s="643">
        <v>1924</v>
      </c>
      <c r="O27" s="1377">
        <f t="shared" si="0"/>
        <v>0</v>
      </c>
      <c r="P27" s="1327"/>
    </row>
    <row r="28" spans="1:16" s="630" customFormat="1" ht="24.75" customHeight="1" thickBot="1">
      <c r="A28" s="669" t="s">
        <v>378</v>
      </c>
      <c r="B28" s="670">
        <f>SUM(B26:B27)</f>
        <v>12739</v>
      </c>
      <c r="C28" s="670">
        <f>SUM(C26:C27)</f>
        <v>12739</v>
      </c>
      <c r="D28" s="670">
        <f>SUM(D26:D27)</f>
        <v>0</v>
      </c>
      <c r="E28" s="1336"/>
      <c r="F28" s="1339"/>
      <c r="G28" s="670">
        <f aca="true" t="shared" si="5" ref="G28:N28">SUM(G26:G27)</f>
        <v>0</v>
      </c>
      <c r="H28" s="670">
        <f t="shared" si="5"/>
        <v>12739</v>
      </c>
      <c r="I28" s="670">
        <f t="shared" si="5"/>
        <v>12739</v>
      </c>
      <c r="J28" s="670">
        <f t="shared" si="5"/>
        <v>12355</v>
      </c>
      <c r="K28" s="670">
        <f t="shared" si="5"/>
        <v>12989</v>
      </c>
      <c r="L28" s="670">
        <f t="shared" si="5"/>
        <v>12989</v>
      </c>
      <c r="M28" s="670">
        <f t="shared" si="5"/>
        <v>12695</v>
      </c>
      <c r="N28" s="670">
        <f t="shared" si="5"/>
        <v>12695</v>
      </c>
      <c r="O28" s="1379">
        <f t="shared" si="0"/>
        <v>-294</v>
      </c>
      <c r="P28" s="1327"/>
    </row>
    <row r="29" spans="1:16" s="630" customFormat="1" ht="24.75" customHeight="1" thickBot="1">
      <c r="A29" s="919" t="s">
        <v>515</v>
      </c>
      <c r="B29" s="920"/>
      <c r="C29" s="920">
        <v>1477</v>
      </c>
      <c r="D29" s="920"/>
      <c r="E29" s="914"/>
      <c r="F29" s="915"/>
      <c r="G29" s="920"/>
      <c r="H29" s="920">
        <f>1477+1948</f>
        <v>3425</v>
      </c>
      <c r="I29" s="920">
        <f>1477+1948</f>
        <v>3425</v>
      </c>
      <c r="J29" s="920">
        <f>1477+1948+1570-1</f>
        <v>4994</v>
      </c>
      <c r="K29" s="920">
        <f>1477+1948+1570-1+1623</f>
        <v>6617</v>
      </c>
      <c r="L29" s="920">
        <f>1477+1948+1570-1+1623</f>
        <v>6617</v>
      </c>
      <c r="M29" s="920">
        <v>6436</v>
      </c>
      <c r="N29" s="920">
        <v>6436</v>
      </c>
      <c r="O29" s="1380">
        <f>M29-L29</f>
        <v>-181</v>
      </c>
      <c r="P29" s="1328"/>
    </row>
    <row r="30" spans="1:16" s="631" customFormat="1" ht="24.75" customHeight="1" thickBot="1">
      <c r="A30" s="628" t="s">
        <v>381</v>
      </c>
      <c r="B30" s="641">
        <f>B19+B25+B28</f>
        <v>109724</v>
      </c>
      <c r="C30" s="641">
        <f>C19+C25+C28+C29</f>
        <v>111201</v>
      </c>
      <c r="D30" s="641">
        <f>D19+D25+D28</f>
        <v>0</v>
      </c>
      <c r="E30" s="641">
        <v>62369</v>
      </c>
      <c r="F30" s="805" t="e">
        <f>E30/D30</f>
        <v>#DIV/0!</v>
      </c>
      <c r="G30" s="641">
        <f>G19+G25+G28</f>
        <v>0</v>
      </c>
      <c r="H30" s="641">
        <f aca="true" t="shared" si="6" ref="H30:N30">H19+H25+H28+H29</f>
        <v>113149</v>
      </c>
      <c r="I30" s="641">
        <f t="shared" si="6"/>
        <v>113149</v>
      </c>
      <c r="J30" s="641">
        <f t="shared" si="6"/>
        <v>114334</v>
      </c>
      <c r="K30" s="641">
        <f t="shared" si="6"/>
        <v>113473</v>
      </c>
      <c r="L30" s="641">
        <f t="shared" si="6"/>
        <v>113473</v>
      </c>
      <c r="M30" s="641">
        <f t="shared" si="6"/>
        <v>113148</v>
      </c>
      <c r="N30" s="641">
        <f t="shared" si="6"/>
        <v>113148</v>
      </c>
      <c r="O30" s="1375">
        <f aca="true" t="shared" si="7" ref="O30:O44">M30-L30</f>
        <v>-325</v>
      </c>
      <c r="P30" s="942">
        <f>L30/K30</f>
        <v>1</v>
      </c>
    </row>
    <row r="31" spans="1:16" s="630" customFormat="1" ht="24.75" customHeight="1" thickBot="1">
      <c r="A31" s="632" t="s">
        <v>382</v>
      </c>
      <c r="B31" s="644">
        <v>3096</v>
      </c>
      <c r="C31" s="644">
        <v>3096</v>
      </c>
      <c r="D31" s="644"/>
      <c r="E31" s="644"/>
      <c r="F31" s="806"/>
      <c r="G31" s="644"/>
      <c r="H31" s="644">
        <v>3096</v>
      </c>
      <c r="I31" s="644">
        <v>3096</v>
      </c>
      <c r="J31" s="644">
        <v>3096</v>
      </c>
      <c r="K31" s="644">
        <v>3096</v>
      </c>
      <c r="L31" s="644">
        <v>3096</v>
      </c>
      <c r="M31" s="644">
        <v>3096</v>
      </c>
      <c r="N31" s="644">
        <v>3096</v>
      </c>
      <c r="O31" s="1381">
        <f t="shared" si="7"/>
        <v>0</v>
      </c>
      <c r="P31" s="942">
        <f>L31/K31</f>
        <v>1</v>
      </c>
    </row>
    <row r="32" spans="1:16" ht="24.75" customHeight="1" hidden="1">
      <c r="A32" s="623" t="s">
        <v>291</v>
      </c>
      <c r="B32" s="645"/>
      <c r="C32" s="645"/>
      <c r="D32" s="645"/>
      <c r="E32" s="645"/>
      <c r="F32" s="807"/>
      <c r="G32" s="645"/>
      <c r="H32" s="645"/>
      <c r="I32" s="645"/>
      <c r="J32" s="645"/>
      <c r="K32" s="645"/>
      <c r="L32" s="645"/>
      <c r="M32" s="645"/>
      <c r="N32" s="645"/>
      <c r="O32" s="1382">
        <f t="shared" si="7"/>
        <v>0</v>
      </c>
      <c r="P32" s="943"/>
    </row>
    <row r="33" spans="1:16" ht="24.75" customHeight="1" hidden="1">
      <c r="A33" s="624" t="s">
        <v>390</v>
      </c>
      <c r="B33" s="646"/>
      <c r="C33" s="646"/>
      <c r="D33" s="878"/>
      <c r="E33" s="878"/>
      <c r="F33" s="879"/>
      <c r="G33" s="878"/>
      <c r="H33" s="646"/>
      <c r="I33" s="646"/>
      <c r="J33" s="646"/>
      <c r="K33" s="646"/>
      <c r="L33" s="646"/>
      <c r="M33" s="646"/>
      <c r="N33" s="646"/>
      <c r="O33" s="1383">
        <f t="shared" si="7"/>
        <v>0</v>
      </c>
      <c r="P33" s="944"/>
    </row>
    <row r="34" spans="1:18" ht="24.75" customHeight="1">
      <c r="A34" s="624" t="s">
        <v>516</v>
      </c>
      <c r="B34" s="646"/>
      <c r="C34" s="646">
        <v>1560</v>
      </c>
      <c r="D34" s="878"/>
      <c r="E34" s="878"/>
      <c r="F34" s="879"/>
      <c r="G34" s="878"/>
      <c r="H34" s="646">
        <f>1560+608</f>
        <v>2168</v>
      </c>
      <c r="I34" s="646">
        <f>1560+608+1207</f>
        <v>3375</v>
      </c>
      <c r="J34" s="646">
        <f>1560+608+1207+1186+1+596+1</f>
        <v>5159</v>
      </c>
      <c r="K34" s="646">
        <f>1560+608+1207+1186+1+596+1+1420</f>
        <v>6579</v>
      </c>
      <c r="L34" s="646">
        <f>1560+608+1207+1186+1+596+1+1420</f>
        <v>6579</v>
      </c>
      <c r="M34" s="646">
        <f>1560+608+1207+1186+1+596+1+1420</f>
        <v>6579</v>
      </c>
      <c r="N34" s="646">
        <f>1560+608+1207+1186+1+596+1+1420</f>
        <v>6579</v>
      </c>
      <c r="O34" s="1383">
        <f t="shared" si="7"/>
        <v>0</v>
      </c>
      <c r="P34" s="1042">
        <f>L34/K34</f>
        <v>1</v>
      </c>
      <c r="R34" s="1004"/>
    </row>
    <row r="35" spans="1:16" ht="24.75" customHeight="1" hidden="1">
      <c r="A35" s="624" t="s">
        <v>389</v>
      </c>
      <c r="B35" s="646"/>
      <c r="C35" s="646"/>
      <c r="D35" s="878"/>
      <c r="E35" s="878"/>
      <c r="F35" s="879"/>
      <c r="G35" s="878"/>
      <c r="H35" s="646"/>
      <c r="I35" s="646"/>
      <c r="J35" s="646"/>
      <c r="K35" s="646"/>
      <c r="L35" s="646"/>
      <c r="M35" s="646"/>
      <c r="N35" s="646"/>
      <c r="O35" s="1383">
        <f t="shared" si="7"/>
        <v>0</v>
      </c>
      <c r="P35" s="943"/>
    </row>
    <row r="36" spans="1:16" ht="24.75" customHeight="1" hidden="1">
      <c r="A36" s="624" t="s">
        <v>388</v>
      </c>
      <c r="B36" s="646"/>
      <c r="C36" s="646"/>
      <c r="D36" s="878"/>
      <c r="E36" s="878"/>
      <c r="F36" s="879"/>
      <c r="G36" s="878"/>
      <c r="H36" s="646"/>
      <c r="I36" s="646"/>
      <c r="J36" s="646"/>
      <c r="K36" s="646"/>
      <c r="L36" s="646"/>
      <c r="M36" s="646"/>
      <c r="N36" s="646"/>
      <c r="O36" s="1383">
        <f t="shared" si="7"/>
        <v>0</v>
      </c>
      <c r="P36" s="943"/>
    </row>
    <row r="37" spans="1:16" ht="24.75" customHeight="1" hidden="1">
      <c r="A37" s="624" t="s">
        <v>387</v>
      </c>
      <c r="B37" s="646"/>
      <c r="C37" s="646"/>
      <c r="D37" s="878"/>
      <c r="E37" s="878"/>
      <c r="F37" s="879"/>
      <c r="G37" s="878"/>
      <c r="H37" s="646"/>
      <c r="I37" s="646"/>
      <c r="J37" s="646"/>
      <c r="K37" s="646"/>
      <c r="L37" s="646"/>
      <c r="M37" s="646"/>
      <c r="N37" s="646"/>
      <c r="O37" s="1383">
        <f t="shared" si="7"/>
        <v>0</v>
      </c>
      <c r="P37" s="943"/>
    </row>
    <row r="38" spans="1:16" ht="24.75" customHeight="1" hidden="1">
      <c r="A38" s="624" t="s">
        <v>391</v>
      </c>
      <c r="B38" s="646"/>
      <c r="C38" s="646"/>
      <c r="D38" s="878"/>
      <c r="E38" s="878"/>
      <c r="F38" s="879"/>
      <c r="G38" s="878"/>
      <c r="H38" s="646"/>
      <c r="I38" s="646"/>
      <c r="J38" s="646"/>
      <c r="K38" s="646"/>
      <c r="L38" s="646"/>
      <c r="M38" s="646"/>
      <c r="N38" s="646"/>
      <c r="O38" s="1383">
        <f t="shared" si="7"/>
        <v>0</v>
      </c>
      <c r="P38" s="943"/>
    </row>
    <row r="39" spans="1:16" ht="24.75" customHeight="1">
      <c r="A39" s="624" t="s">
        <v>536</v>
      </c>
      <c r="B39" s="646"/>
      <c r="C39" s="646"/>
      <c r="D39" s="878"/>
      <c r="E39" s="878"/>
      <c r="F39" s="879"/>
      <c r="G39" s="878"/>
      <c r="H39" s="646">
        <v>119</v>
      </c>
      <c r="I39" s="646">
        <v>119</v>
      </c>
      <c r="J39" s="646">
        <v>119</v>
      </c>
      <c r="K39" s="646">
        <v>119</v>
      </c>
      <c r="L39" s="646">
        <v>119</v>
      </c>
      <c r="M39" s="646">
        <v>119</v>
      </c>
      <c r="N39" s="646">
        <v>119</v>
      </c>
      <c r="O39" s="1383">
        <f t="shared" si="7"/>
        <v>0</v>
      </c>
      <c r="P39" s="1043">
        <f aca="true" t="shared" si="8" ref="P39:P44">L39/K39</f>
        <v>1</v>
      </c>
    </row>
    <row r="40" spans="1:16" ht="24.75" customHeight="1">
      <c r="A40" s="624" t="s">
        <v>535</v>
      </c>
      <c r="B40" s="646"/>
      <c r="C40" s="646"/>
      <c r="D40" s="878"/>
      <c r="E40" s="878"/>
      <c r="F40" s="879"/>
      <c r="G40" s="878"/>
      <c r="H40" s="646"/>
      <c r="I40" s="646">
        <v>280</v>
      </c>
      <c r="J40" s="646">
        <f>280-37</f>
        <v>243</v>
      </c>
      <c r="K40" s="646">
        <f>280-37</f>
        <v>243</v>
      </c>
      <c r="L40" s="646">
        <f>280-37</f>
        <v>243</v>
      </c>
      <c r="M40" s="646">
        <f>280-37</f>
        <v>243</v>
      </c>
      <c r="N40" s="646">
        <f>280-37</f>
        <v>243</v>
      </c>
      <c r="O40" s="1383">
        <f t="shared" si="7"/>
        <v>0</v>
      </c>
      <c r="P40" s="1043">
        <f t="shared" si="8"/>
        <v>1</v>
      </c>
    </row>
    <row r="41" spans="1:16" ht="24.75" customHeight="1">
      <c r="A41" s="624" t="s">
        <v>540</v>
      </c>
      <c r="B41" s="646"/>
      <c r="C41" s="646"/>
      <c r="D41" s="878"/>
      <c r="E41" s="881"/>
      <c r="F41" s="882"/>
      <c r="G41" s="878"/>
      <c r="H41" s="646"/>
      <c r="I41" s="646"/>
      <c r="J41" s="646">
        <v>3999</v>
      </c>
      <c r="K41" s="646">
        <v>3999</v>
      </c>
      <c r="L41" s="646">
        <v>3999</v>
      </c>
      <c r="M41" s="646">
        <v>4156</v>
      </c>
      <c r="N41" s="646">
        <v>4156</v>
      </c>
      <c r="O41" s="1383">
        <f t="shared" si="7"/>
        <v>157</v>
      </c>
      <c r="P41" s="1043">
        <f t="shared" si="8"/>
        <v>1</v>
      </c>
    </row>
    <row r="42" spans="1:16" ht="24.75" customHeight="1">
      <c r="A42" s="624" t="s">
        <v>555</v>
      </c>
      <c r="B42" s="646"/>
      <c r="C42" s="646"/>
      <c r="D42" s="878"/>
      <c r="E42" s="878"/>
      <c r="F42" s="910"/>
      <c r="G42" s="878"/>
      <c r="H42" s="646"/>
      <c r="I42" s="646"/>
      <c r="J42" s="646"/>
      <c r="K42" s="646">
        <v>978</v>
      </c>
      <c r="L42" s="646">
        <v>978</v>
      </c>
      <c r="M42" s="646">
        <v>978</v>
      </c>
      <c r="N42" s="646">
        <v>978</v>
      </c>
      <c r="O42" s="1383">
        <f t="shared" si="7"/>
        <v>0</v>
      </c>
      <c r="P42" s="1043">
        <f t="shared" si="8"/>
        <v>1</v>
      </c>
    </row>
    <row r="43" spans="1:16" ht="24.75" customHeight="1">
      <c r="A43" s="624" t="s">
        <v>554</v>
      </c>
      <c r="B43" s="646"/>
      <c r="C43" s="646"/>
      <c r="D43" s="878"/>
      <c r="E43" s="878"/>
      <c r="F43" s="910"/>
      <c r="G43" s="878"/>
      <c r="H43" s="646"/>
      <c r="I43" s="646"/>
      <c r="J43" s="646"/>
      <c r="K43" s="646">
        <v>3000</v>
      </c>
      <c r="L43" s="646">
        <v>3000</v>
      </c>
      <c r="M43" s="646">
        <v>3000</v>
      </c>
      <c r="N43" s="646">
        <v>3000</v>
      </c>
      <c r="O43" s="1383">
        <f t="shared" si="7"/>
        <v>0</v>
      </c>
      <c r="P43" s="1043">
        <f t="shared" si="8"/>
        <v>1</v>
      </c>
    </row>
    <row r="44" spans="1:16" s="634" customFormat="1" ht="26.25" customHeight="1" thickBot="1">
      <c r="A44" s="633" t="s">
        <v>28</v>
      </c>
      <c r="B44" s="647">
        <f>B15+B18+B30+B31</f>
        <v>239110</v>
      </c>
      <c r="C44" s="647">
        <f>C15+C18+C30+C31+C34</f>
        <v>242780</v>
      </c>
      <c r="D44" s="647">
        <f>D15+D18+D30+D31+D32+D34+D35+D36+D37+D38+D40+D41+D33+D39</f>
        <v>0</v>
      </c>
      <c r="E44" s="647">
        <f>E15+E16+E30+E31+E32+E34+E35+E36+E37+E38+E40+E41+E33+E39</f>
        <v>111638</v>
      </c>
      <c r="F44" s="808" t="e">
        <f>E44/D44</f>
        <v>#DIV/0!</v>
      </c>
      <c r="G44" s="647">
        <f>G15+G18+G30+G31+G32+G34+G35+G36+G37+G38+G40+G41+G33+G39+G43</f>
        <v>0</v>
      </c>
      <c r="H44" s="647">
        <f>H15+H18+H30+H31+H34+H39</f>
        <v>245455</v>
      </c>
      <c r="I44" s="647">
        <f>I15+I18+I30+I31+I34+I39+I40</f>
        <v>246942</v>
      </c>
      <c r="J44" s="647">
        <f>J15+J18+J30+J31+J34+J39+J40+J41</f>
        <v>255895</v>
      </c>
      <c r="K44" s="647">
        <f>K15+K18+K30+K31+K34+K39+K40+K41+K42+K43</f>
        <v>259610</v>
      </c>
      <c r="L44" s="647">
        <f>L15+L18+L30+L31+L34+L39+L40+L41+L42+L43</f>
        <v>259610</v>
      </c>
      <c r="M44" s="647">
        <f>M15+M18+M30+M31+M34+M39+M40+M41+M42+M43</f>
        <v>258934</v>
      </c>
      <c r="N44" s="647">
        <f>N15+N18+N30+N31+N34+N39+N40+N41+N42+N43</f>
        <v>258934</v>
      </c>
      <c r="O44" s="1384">
        <f t="shared" si="7"/>
        <v>-676</v>
      </c>
      <c r="P44" s="1044">
        <f t="shared" si="8"/>
        <v>1</v>
      </c>
    </row>
    <row r="46" spans="1:12" ht="15">
      <c r="A46" s="635"/>
      <c r="L46" s="1004"/>
    </row>
  </sheetData>
  <sheetProtection/>
  <mergeCells count="11">
    <mergeCell ref="A1:F1"/>
    <mergeCell ref="E5:E13"/>
    <mergeCell ref="E20:E28"/>
    <mergeCell ref="F20:F28"/>
    <mergeCell ref="E16:E17"/>
    <mergeCell ref="F16:F17"/>
    <mergeCell ref="F5:F13"/>
    <mergeCell ref="P6:P13"/>
    <mergeCell ref="P16:P17"/>
    <mergeCell ref="P19:P29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32.140625" style="883" customWidth="1"/>
    <col min="2" max="2" width="18.28125" style="884" customWidth="1"/>
    <col min="3" max="7" width="14.28125" style="884" customWidth="1"/>
    <col min="8" max="8" width="13.57421875" style="884" customWidth="1"/>
    <col min="9" max="16384" width="9.140625" style="884" customWidth="1"/>
  </cols>
  <sheetData>
    <row r="1" spans="6:7" ht="15">
      <c r="F1" s="1342" t="s">
        <v>480</v>
      </c>
      <c r="G1" s="1342"/>
    </row>
    <row r="2" spans="1:7" ht="24.75" customHeight="1">
      <c r="A2" s="1343" t="s">
        <v>466</v>
      </c>
      <c r="B2" s="1343"/>
      <c r="C2" s="1343"/>
      <c r="D2" s="1343"/>
      <c r="E2" s="1343"/>
      <c r="F2" s="1343"/>
      <c r="G2" s="1343"/>
    </row>
    <row r="3" spans="1:7" ht="18.75" customHeight="1">
      <c r="A3" s="1344" t="s">
        <v>509</v>
      </c>
      <c r="B3" s="1344"/>
      <c r="C3" s="1344"/>
      <c r="D3" s="1344"/>
      <c r="E3" s="1344"/>
      <c r="F3" s="1344"/>
      <c r="G3" s="1344"/>
    </row>
    <row r="4" spans="1:7" ht="24.75" customHeight="1">
      <c r="A4" s="1345" t="s">
        <v>467</v>
      </c>
      <c r="B4" s="1345"/>
      <c r="C4" s="1345"/>
      <c r="D4" s="1345"/>
      <c r="E4" s="1345"/>
      <c r="F4" s="1345"/>
      <c r="G4" s="1345"/>
    </row>
    <row r="5" ht="15.75" thickBot="1">
      <c r="G5" s="885" t="s">
        <v>2</v>
      </c>
    </row>
    <row r="6" spans="1:7" ht="24.75" customHeight="1">
      <c r="A6" s="1346" t="s">
        <v>468</v>
      </c>
      <c r="B6" s="1348" t="s">
        <v>469</v>
      </c>
      <c r="C6" s="1348"/>
      <c r="D6" s="1348"/>
      <c r="E6" s="1349" t="s">
        <v>470</v>
      </c>
      <c r="F6" s="1348"/>
      <c r="G6" s="1350"/>
    </row>
    <row r="7" spans="1:7" ht="24.75" customHeight="1" thickBot="1">
      <c r="A7" s="1347"/>
      <c r="B7" s="886" t="s">
        <v>471</v>
      </c>
      <c r="C7" s="886" t="s">
        <v>472</v>
      </c>
      <c r="D7" s="886" t="s">
        <v>473</v>
      </c>
      <c r="E7" s="887" t="s">
        <v>471</v>
      </c>
      <c r="F7" s="886" t="s">
        <v>474</v>
      </c>
      <c r="G7" s="888" t="s">
        <v>473</v>
      </c>
    </row>
    <row r="8" spans="1:7" ht="33.75" customHeight="1">
      <c r="A8" s="889" t="s">
        <v>295</v>
      </c>
      <c r="B8" s="890"/>
      <c r="C8" s="890">
        <v>28939</v>
      </c>
      <c r="D8" s="890">
        <f>SUM(B8:C8)</f>
        <v>28939</v>
      </c>
      <c r="E8" s="891">
        <v>744</v>
      </c>
      <c r="F8" s="891">
        <v>15209</v>
      </c>
      <c r="G8" s="895">
        <f>SUM(E8:F8)</f>
        <v>15953</v>
      </c>
    </row>
    <row r="9" spans="1:7" ht="33.75" customHeight="1">
      <c r="A9" s="892" t="s">
        <v>475</v>
      </c>
      <c r="B9" s="893"/>
      <c r="C9" s="893"/>
      <c r="D9" s="890">
        <f>SUM(B9:C9)</f>
        <v>0</v>
      </c>
      <c r="E9" s="894"/>
      <c r="F9" s="894"/>
      <c r="G9" s="895">
        <f>SUM(E9:F9)</f>
        <v>0</v>
      </c>
    </row>
    <row r="10" spans="1:7" ht="33.75" customHeight="1">
      <c r="A10" s="892" t="s">
        <v>476</v>
      </c>
      <c r="B10" s="893">
        <v>2478</v>
      </c>
      <c r="C10" s="893"/>
      <c r="D10" s="890">
        <f>SUM(B10:C10)</f>
        <v>2478</v>
      </c>
      <c r="E10" s="894">
        <v>368</v>
      </c>
      <c r="F10" s="894"/>
      <c r="G10" s="895">
        <f>SUM(E10:F10)</f>
        <v>368</v>
      </c>
    </row>
    <row r="11" spans="1:7" ht="33.75" customHeight="1">
      <c r="A11" s="896" t="s">
        <v>296</v>
      </c>
      <c r="B11" s="897"/>
      <c r="C11" s="897"/>
      <c r="D11" s="890"/>
      <c r="E11" s="898"/>
      <c r="F11" s="898"/>
      <c r="G11" s="895"/>
    </row>
    <row r="12" spans="1:7" ht="33.75" customHeight="1" thickBot="1">
      <c r="A12" s="899" t="s">
        <v>297</v>
      </c>
      <c r="B12" s="900"/>
      <c r="C12" s="900"/>
      <c r="D12" s="900"/>
      <c r="E12" s="901"/>
      <c r="F12" s="901"/>
      <c r="G12" s="902"/>
    </row>
    <row r="13" spans="1:7" ht="33.75" customHeight="1" thickBot="1">
      <c r="A13" s="903" t="s">
        <v>1</v>
      </c>
      <c r="B13" s="904">
        <f aca="true" t="shared" si="0" ref="B13:G13">SUM(B8:B12)</f>
        <v>2478</v>
      </c>
      <c r="C13" s="904">
        <f t="shared" si="0"/>
        <v>28939</v>
      </c>
      <c r="D13" s="904">
        <f t="shared" si="0"/>
        <v>31417</v>
      </c>
      <c r="E13" s="904">
        <f t="shared" si="0"/>
        <v>1112</v>
      </c>
      <c r="F13" s="904">
        <f t="shared" si="0"/>
        <v>15209</v>
      </c>
      <c r="G13" s="905">
        <f t="shared" si="0"/>
        <v>16321</v>
      </c>
    </row>
    <row r="15" spans="1:7" ht="28.5" customHeight="1">
      <c r="A15" s="1351" t="s">
        <v>477</v>
      </c>
      <c r="B15" s="1351"/>
      <c r="C15" s="1351"/>
      <c r="D15" s="1351"/>
      <c r="E15" s="1351"/>
      <c r="F15" s="1351"/>
      <c r="G15" s="1351"/>
    </row>
    <row r="16" ht="15.75" thickBot="1">
      <c r="E16" s="885"/>
    </row>
    <row r="17" spans="2:4" ht="19.5" customHeight="1">
      <c r="B17" s="1352" t="s">
        <v>272</v>
      </c>
      <c r="C17" s="1354" t="s">
        <v>478</v>
      </c>
      <c r="D17" s="1355"/>
    </row>
    <row r="18" spans="2:4" ht="30" customHeight="1" thickBot="1">
      <c r="B18" s="1353"/>
      <c r="C18" s="1356"/>
      <c r="D18" s="1357"/>
    </row>
    <row r="19" spans="2:4" ht="29.25" customHeight="1">
      <c r="B19" s="906" t="s">
        <v>479</v>
      </c>
      <c r="C19" s="1358">
        <v>5112</v>
      </c>
      <c r="D19" s="1359"/>
    </row>
    <row r="20" spans="2:4" ht="28.5" customHeight="1" hidden="1" thickBot="1">
      <c r="B20" s="907"/>
      <c r="C20" s="1360"/>
      <c r="D20" s="1361"/>
    </row>
    <row r="21" spans="2:4" s="909" customFormat="1" ht="27.75" customHeight="1" thickBot="1">
      <c r="B21" s="908" t="s">
        <v>1</v>
      </c>
      <c r="C21" s="1362">
        <f>SUM(C19:D20)</f>
        <v>5112</v>
      </c>
      <c r="D21" s="1363"/>
    </row>
    <row r="23" ht="15" hidden="1">
      <c r="E23" s="884" t="s">
        <v>573</v>
      </c>
    </row>
  </sheetData>
  <sheetProtection/>
  <mergeCells count="13">
    <mergeCell ref="A15:G15"/>
    <mergeCell ref="B17:B18"/>
    <mergeCell ref="C17:D18"/>
    <mergeCell ref="C19:D19"/>
    <mergeCell ref="C20:D20"/>
    <mergeCell ref="C21:D21"/>
    <mergeCell ref="F1:G1"/>
    <mergeCell ref="A2:G2"/>
    <mergeCell ref="A3:G3"/>
    <mergeCell ref="A4:G4"/>
    <mergeCell ref="A6:A7"/>
    <mergeCell ref="B6:D6"/>
    <mergeCell ref="E6:G6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48">
      <selection activeCell="C57" sqref="C57"/>
    </sheetView>
  </sheetViews>
  <sheetFormatPr defaultColWidth="9.140625" defaultRowHeight="12.75"/>
  <cols>
    <col min="1" max="1" width="8.28125" style="338" customWidth="1"/>
    <col min="2" max="2" width="8.28125" style="332" customWidth="1"/>
    <col min="3" max="3" width="52.00390625" style="332" customWidth="1"/>
    <col min="4" max="6" width="8.28125" style="332" bestFit="1" customWidth="1"/>
    <col min="7" max="7" width="7.421875" style="332" bestFit="1" customWidth="1"/>
    <col min="8" max="8" width="8.421875" style="332" bestFit="1" customWidth="1"/>
    <col min="9" max="9" width="8.8515625" style="332" hidden="1" customWidth="1"/>
    <col min="10" max="12" width="8.28125" style="332" bestFit="1" customWidth="1"/>
    <col min="13" max="13" width="7.421875" style="332" bestFit="1" customWidth="1"/>
    <col min="14" max="14" width="8.421875" style="332" bestFit="1" customWidth="1"/>
    <col min="15" max="15" width="8.8515625" style="332" hidden="1" customWidth="1"/>
    <col min="16" max="16" width="12.421875" style="332" bestFit="1" customWidth="1"/>
    <col min="17" max="17" width="4.57421875" style="332" hidden="1" customWidth="1"/>
    <col min="18" max="18" width="0" style="332" hidden="1" customWidth="1"/>
    <col min="19" max="19" width="10.00390625" style="332" hidden="1" customWidth="1"/>
    <col min="20" max="20" width="0" style="332" hidden="1" customWidth="1"/>
    <col min="21" max="16384" width="9.140625" style="332" customWidth="1"/>
  </cols>
  <sheetData>
    <row r="1" spans="1:16" s="151" customFormat="1" ht="21" customHeight="1" hidden="1">
      <c r="A1" s="147"/>
      <c r="B1" s="148"/>
      <c r="C1" s="149"/>
      <c r="D1" s="150"/>
      <c r="E1" s="150"/>
      <c r="F1" s="150"/>
      <c r="G1" s="150"/>
      <c r="H1" s="150"/>
      <c r="I1" s="150"/>
      <c r="J1" s="1182"/>
      <c r="K1" s="1182"/>
      <c r="L1" s="1182"/>
      <c r="M1" s="1182"/>
      <c r="N1" s="1182"/>
      <c r="O1" s="1182"/>
      <c r="P1" s="1182"/>
    </row>
    <row r="2" spans="1:16" s="154" customFormat="1" ht="25.5" customHeight="1" hidden="1" thickBot="1">
      <c r="A2" s="1185"/>
      <c r="B2" s="1185"/>
      <c r="C2" s="1185"/>
      <c r="D2" s="1185"/>
      <c r="E2" s="1185"/>
      <c r="F2" s="1185"/>
      <c r="G2" s="1185"/>
      <c r="H2" s="1185"/>
      <c r="I2" s="1185"/>
      <c r="J2" s="1185"/>
      <c r="K2" s="1185"/>
      <c r="L2" s="1185"/>
      <c r="M2" s="1185"/>
      <c r="N2" s="1185"/>
      <c r="O2" s="1185"/>
      <c r="P2" s="1185"/>
    </row>
    <row r="3" spans="1:20" s="157" customFormat="1" ht="40.5" customHeight="1" hidden="1" thickBot="1">
      <c r="A3" s="155"/>
      <c r="B3" s="155"/>
      <c r="C3" s="155"/>
      <c r="D3" s="1192" t="s">
        <v>5</v>
      </c>
      <c r="E3" s="1193"/>
      <c r="F3" s="1193"/>
      <c r="G3" s="1193"/>
      <c r="H3" s="1193"/>
      <c r="I3" s="1194"/>
      <c r="J3" s="1192" t="s">
        <v>111</v>
      </c>
      <c r="K3" s="1193"/>
      <c r="L3" s="1193"/>
      <c r="M3" s="1193"/>
      <c r="N3" s="1193"/>
      <c r="O3" s="1194"/>
      <c r="P3" s="1364" t="s">
        <v>159</v>
      </c>
      <c r="Q3" s="1365"/>
      <c r="R3" s="1365"/>
      <c r="S3" s="1366"/>
      <c r="T3" s="547"/>
    </row>
    <row r="4" spans="1:19" ht="24.75" hidden="1" thickBot="1">
      <c r="A4" s="1183" t="s">
        <v>113</v>
      </c>
      <c r="B4" s="1184"/>
      <c r="C4" s="525" t="s">
        <v>114</v>
      </c>
      <c r="D4" s="517" t="s">
        <v>71</v>
      </c>
      <c r="E4" s="158" t="s">
        <v>245</v>
      </c>
      <c r="F4" s="158" t="s">
        <v>248</v>
      </c>
      <c r="G4" s="158" t="s">
        <v>251</v>
      </c>
      <c r="H4" s="158" t="s">
        <v>267</v>
      </c>
      <c r="I4" s="488" t="s">
        <v>255</v>
      </c>
      <c r="J4" s="517" t="s">
        <v>71</v>
      </c>
      <c r="K4" s="158" t="s">
        <v>245</v>
      </c>
      <c r="L4" s="158" t="s">
        <v>248</v>
      </c>
      <c r="M4" s="158" t="s">
        <v>251</v>
      </c>
      <c r="N4" s="158" t="s">
        <v>267</v>
      </c>
      <c r="O4" s="488" t="s">
        <v>255</v>
      </c>
      <c r="P4" s="517" t="s">
        <v>268</v>
      </c>
      <c r="Q4" s="158" t="s">
        <v>264</v>
      </c>
      <c r="R4" s="158" t="s">
        <v>248</v>
      </c>
      <c r="S4" s="488" t="s">
        <v>248</v>
      </c>
    </row>
    <row r="5" spans="1:19" s="163" customFormat="1" ht="12.75" customHeight="1" hidden="1" thickBot="1">
      <c r="A5" s="160">
        <v>1</v>
      </c>
      <c r="B5" s="161">
        <v>2</v>
      </c>
      <c r="C5" s="317">
        <v>3</v>
      </c>
      <c r="D5" s="160"/>
      <c r="E5" s="161"/>
      <c r="F5" s="161"/>
      <c r="G5" s="161"/>
      <c r="H5" s="161"/>
      <c r="I5" s="162"/>
      <c r="J5" s="160"/>
      <c r="K5" s="161"/>
      <c r="L5" s="161"/>
      <c r="M5" s="161"/>
      <c r="N5" s="161"/>
      <c r="O5" s="162"/>
      <c r="P5" s="160"/>
      <c r="Q5" s="161"/>
      <c r="R5" s="161"/>
      <c r="S5" s="162"/>
    </row>
    <row r="6" spans="1:19" s="163" customFormat="1" ht="15.75" customHeight="1" hidden="1" thickBot="1">
      <c r="A6" s="164"/>
      <c r="B6" s="165"/>
      <c r="C6" s="165" t="s">
        <v>115</v>
      </c>
      <c r="D6" s="494"/>
      <c r="E6" s="230"/>
      <c r="F6" s="230"/>
      <c r="G6" s="230"/>
      <c r="H6" s="230"/>
      <c r="I6" s="295"/>
      <c r="J6" s="494"/>
      <c r="K6" s="230"/>
      <c r="L6" s="230"/>
      <c r="M6" s="230"/>
      <c r="N6" s="230"/>
      <c r="O6" s="295"/>
      <c r="P6" s="494"/>
      <c r="Q6" s="230"/>
      <c r="R6" s="230"/>
      <c r="S6" s="295"/>
    </row>
    <row r="7" spans="1:19" s="169" customFormat="1" ht="12" customHeight="1" hidden="1" thickBot="1">
      <c r="A7" s="160" t="s">
        <v>30</v>
      </c>
      <c r="B7" s="166"/>
      <c r="C7" s="526" t="s">
        <v>116</v>
      </c>
      <c r="D7" s="495"/>
      <c r="E7" s="231"/>
      <c r="F7" s="231"/>
      <c r="G7" s="231"/>
      <c r="H7" s="556"/>
      <c r="I7" s="412"/>
      <c r="J7" s="495"/>
      <c r="K7" s="231"/>
      <c r="L7" s="231"/>
      <c r="M7" s="231"/>
      <c r="N7" s="556"/>
      <c r="O7" s="412"/>
      <c r="P7" s="495"/>
      <c r="Q7" s="231"/>
      <c r="R7" s="231"/>
      <c r="S7" s="168"/>
    </row>
    <row r="8" spans="1:19" s="169" customFormat="1" ht="12" customHeight="1" hidden="1" thickBot="1">
      <c r="A8" s="160" t="s">
        <v>10</v>
      </c>
      <c r="B8" s="166"/>
      <c r="C8" s="526" t="s">
        <v>122</v>
      </c>
      <c r="D8" s="495">
        <f aca="true" t="shared" si="0" ref="D8:M8">SUM(D9:D12)</f>
        <v>0</v>
      </c>
      <c r="E8" s="231">
        <f t="shared" si="0"/>
        <v>0</v>
      </c>
      <c r="F8" s="231">
        <f t="shared" si="0"/>
        <v>0</v>
      </c>
      <c r="G8" s="231">
        <f>SUM(G9:G12)</f>
        <v>0</v>
      </c>
      <c r="H8" s="556">
        <f>SUM(H9:H12)</f>
        <v>0</v>
      </c>
      <c r="I8" s="412"/>
      <c r="J8" s="495">
        <f t="shared" si="0"/>
        <v>0</v>
      </c>
      <c r="K8" s="231">
        <f t="shared" si="0"/>
        <v>0</v>
      </c>
      <c r="L8" s="231">
        <f t="shared" si="0"/>
        <v>0</v>
      </c>
      <c r="M8" s="231">
        <f t="shared" si="0"/>
        <v>0</v>
      </c>
      <c r="N8" s="556" t="s">
        <v>269</v>
      </c>
      <c r="O8" s="412"/>
      <c r="P8" s="495"/>
      <c r="Q8" s="231"/>
      <c r="R8" s="231"/>
      <c r="S8" s="168"/>
    </row>
    <row r="9" spans="1:19" s="175" customFormat="1" ht="12" customHeight="1" hidden="1">
      <c r="A9" s="172"/>
      <c r="B9" s="171" t="s">
        <v>123</v>
      </c>
      <c r="C9" s="507" t="s">
        <v>78</v>
      </c>
      <c r="D9" s="497"/>
      <c r="E9" s="232"/>
      <c r="F9" s="232"/>
      <c r="G9" s="232"/>
      <c r="H9" s="557"/>
      <c r="I9" s="516"/>
      <c r="J9" s="497"/>
      <c r="K9" s="232"/>
      <c r="L9" s="232"/>
      <c r="M9" s="232"/>
      <c r="N9" s="557"/>
      <c r="O9" s="516"/>
      <c r="P9" s="497"/>
      <c r="Q9" s="232"/>
      <c r="R9" s="232"/>
      <c r="S9" s="174"/>
    </row>
    <row r="10" spans="1:19" s="175" customFormat="1" ht="12" customHeight="1" hidden="1">
      <c r="A10" s="172"/>
      <c r="B10" s="171" t="s">
        <v>124</v>
      </c>
      <c r="C10" s="508" t="s">
        <v>125</v>
      </c>
      <c r="D10" s="497"/>
      <c r="E10" s="232"/>
      <c r="F10" s="232"/>
      <c r="G10" s="232"/>
      <c r="H10" s="557"/>
      <c r="I10" s="542"/>
      <c r="J10" s="497"/>
      <c r="K10" s="232"/>
      <c r="L10" s="232"/>
      <c r="M10" s="232"/>
      <c r="N10" s="557"/>
      <c r="O10" s="542"/>
      <c r="P10" s="497"/>
      <c r="Q10" s="232"/>
      <c r="R10" s="232"/>
      <c r="S10" s="174"/>
    </row>
    <row r="11" spans="1:19" s="175" customFormat="1" ht="12" customHeight="1" hidden="1">
      <c r="A11" s="172"/>
      <c r="B11" s="171" t="s">
        <v>126</v>
      </c>
      <c r="C11" s="508" t="s">
        <v>79</v>
      </c>
      <c r="D11" s="497"/>
      <c r="E11" s="232"/>
      <c r="F11" s="232"/>
      <c r="G11" s="232"/>
      <c r="H11" s="557"/>
      <c r="I11" s="542"/>
      <c r="J11" s="497"/>
      <c r="K11" s="232"/>
      <c r="L11" s="232"/>
      <c r="M11" s="232"/>
      <c r="N11" s="557"/>
      <c r="O11" s="542"/>
      <c r="P11" s="497"/>
      <c r="Q11" s="232"/>
      <c r="R11" s="232"/>
      <c r="S11" s="174"/>
    </row>
    <row r="12" spans="1:19" s="175" customFormat="1" ht="12" customHeight="1" hidden="1" thickBot="1">
      <c r="A12" s="172"/>
      <c r="B12" s="171" t="s">
        <v>127</v>
      </c>
      <c r="C12" s="508" t="s">
        <v>125</v>
      </c>
      <c r="D12" s="497"/>
      <c r="E12" s="232"/>
      <c r="F12" s="232"/>
      <c r="G12" s="232"/>
      <c r="H12" s="557"/>
      <c r="I12" s="548"/>
      <c r="J12" s="497"/>
      <c r="K12" s="232"/>
      <c r="L12" s="232"/>
      <c r="M12" s="232"/>
      <c r="N12" s="557"/>
      <c r="O12" s="548"/>
      <c r="P12" s="497"/>
      <c r="Q12" s="232"/>
      <c r="R12" s="232"/>
      <c r="S12" s="174"/>
    </row>
    <row r="13" spans="1:19" s="175" customFormat="1" ht="12" customHeight="1" hidden="1" thickBot="1">
      <c r="A13" s="180" t="s">
        <v>11</v>
      </c>
      <c r="B13" s="181"/>
      <c r="C13" s="506" t="s">
        <v>128</v>
      </c>
      <c r="D13" s="495">
        <f aca="true" t="shared" si="1" ref="D13:M13">SUM(D14:D15)</f>
        <v>0</v>
      </c>
      <c r="E13" s="231">
        <f t="shared" si="1"/>
        <v>0</v>
      </c>
      <c r="F13" s="231">
        <f t="shared" si="1"/>
        <v>0</v>
      </c>
      <c r="G13" s="231">
        <f>SUM(G14:G15)</f>
        <v>0</v>
      </c>
      <c r="H13" s="556"/>
      <c r="I13" s="412"/>
      <c r="J13" s="495">
        <f t="shared" si="1"/>
        <v>0</v>
      </c>
      <c r="K13" s="231">
        <f t="shared" si="1"/>
        <v>0</v>
      </c>
      <c r="L13" s="231">
        <f t="shared" si="1"/>
        <v>0</v>
      </c>
      <c r="M13" s="231">
        <f t="shared" si="1"/>
        <v>0</v>
      </c>
      <c r="N13" s="556"/>
      <c r="O13" s="412"/>
      <c r="P13" s="495"/>
      <c r="Q13" s="231"/>
      <c r="R13" s="231"/>
      <c r="S13" s="168"/>
    </row>
    <row r="14" spans="1:19" s="169" customFormat="1" ht="12" customHeight="1" hidden="1">
      <c r="A14" s="182"/>
      <c r="B14" s="183" t="s">
        <v>129</v>
      </c>
      <c r="C14" s="527" t="s">
        <v>130</v>
      </c>
      <c r="D14" s="498"/>
      <c r="E14" s="233"/>
      <c r="F14" s="233"/>
      <c r="G14" s="233"/>
      <c r="H14" s="558"/>
      <c r="I14" s="516"/>
      <c r="J14" s="498"/>
      <c r="K14" s="233"/>
      <c r="L14" s="233"/>
      <c r="M14" s="233"/>
      <c r="N14" s="558"/>
      <c r="O14" s="516"/>
      <c r="P14" s="498"/>
      <c r="Q14" s="233"/>
      <c r="R14" s="233"/>
      <c r="S14" s="185"/>
    </row>
    <row r="15" spans="1:19" s="169" customFormat="1" ht="12" customHeight="1" hidden="1" thickBot="1">
      <c r="A15" s="186"/>
      <c r="B15" s="187" t="s">
        <v>131</v>
      </c>
      <c r="C15" s="528" t="s">
        <v>132</v>
      </c>
      <c r="D15" s="499"/>
      <c r="E15" s="234"/>
      <c r="F15" s="234"/>
      <c r="G15" s="234"/>
      <c r="H15" s="559"/>
      <c r="I15" s="548"/>
      <c r="J15" s="499"/>
      <c r="K15" s="234"/>
      <c r="L15" s="234"/>
      <c r="M15" s="234"/>
      <c r="N15" s="559"/>
      <c r="O15" s="548"/>
      <c r="P15" s="499"/>
      <c r="Q15" s="234"/>
      <c r="R15" s="234"/>
      <c r="S15" s="189"/>
    </row>
    <row r="16" spans="1:19" s="169" customFormat="1" ht="12" customHeight="1" hidden="1" thickBot="1">
      <c r="A16" s="180" t="s">
        <v>12</v>
      </c>
      <c r="B16" s="166"/>
      <c r="C16" s="506" t="s">
        <v>133</v>
      </c>
      <c r="D16" s="500"/>
      <c r="E16" s="235"/>
      <c r="F16" s="235"/>
      <c r="G16" s="235"/>
      <c r="H16" s="560"/>
      <c r="I16" s="412"/>
      <c r="J16" s="500"/>
      <c r="K16" s="235"/>
      <c r="L16" s="235"/>
      <c r="M16" s="235"/>
      <c r="N16" s="560" t="s">
        <v>269</v>
      </c>
      <c r="O16" s="412"/>
      <c r="P16" s="500"/>
      <c r="Q16" s="235"/>
      <c r="R16" s="235"/>
      <c r="S16" s="190"/>
    </row>
    <row r="17" spans="1:19" s="169" customFormat="1" ht="12" customHeight="1" hidden="1" thickBot="1">
      <c r="A17" s="160" t="s">
        <v>13</v>
      </c>
      <c r="B17" s="191"/>
      <c r="C17" s="506" t="s">
        <v>134</v>
      </c>
      <c r="D17" s="495">
        <f aca="true" t="shared" si="2" ref="D17:M17">D7+D8+D13+D16</f>
        <v>0</v>
      </c>
      <c r="E17" s="231">
        <f t="shared" si="2"/>
        <v>0</v>
      </c>
      <c r="F17" s="231">
        <f t="shared" si="2"/>
        <v>0</v>
      </c>
      <c r="G17" s="231">
        <f t="shared" si="2"/>
        <v>0</v>
      </c>
      <c r="H17" s="556" t="s">
        <v>269</v>
      </c>
      <c r="I17" s="412"/>
      <c r="J17" s="495">
        <f t="shared" si="2"/>
        <v>0</v>
      </c>
      <c r="K17" s="231">
        <f t="shared" si="2"/>
        <v>0</v>
      </c>
      <c r="L17" s="231">
        <f t="shared" si="2"/>
        <v>0</v>
      </c>
      <c r="M17" s="231">
        <f t="shared" si="2"/>
        <v>0</v>
      </c>
      <c r="N17" s="556" t="s">
        <v>269</v>
      </c>
      <c r="O17" s="412"/>
      <c r="P17" s="495"/>
      <c r="Q17" s="231"/>
      <c r="R17" s="231"/>
      <c r="S17" s="168"/>
    </row>
    <row r="18" spans="1:19" s="175" customFormat="1" ht="12" customHeight="1" hidden="1" thickBot="1">
      <c r="A18" s="192" t="s">
        <v>14</v>
      </c>
      <c r="B18" s="193"/>
      <c r="C18" s="529" t="s">
        <v>135</v>
      </c>
      <c r="D18" s="501">
        <f aca="true" t="shared" si="3" ref="D18:M18">SUM(D19:D20)</f>
        <v>0</v>
      </c>
      <c r="E18" s="236">
        <f t="shared" si="3"/>
        <v>0</v>
      </c>
      <c r="F18" s="236">
        <f t="shared" si="3"/>
        <v>0</v>
      </c>
      <c r="G18" s="236">
        <f>SUM(G19:G20)</f>
        <v>0</v>
      </c>
      <c r="H18" s="561" t="s">
        <v>269</v>
      </c>
      <c r="I18" s="412"/>
      <c r="J18" s="501">
        <f t="shared" si="3"/>
        <v>0</v>
      </c>
      <c r="K18" s="236">
        <f t="shared" si="3"/>
        <v>0</v>
      </c>
      <c r="L18" s="236">
        <f t="shared" si="3"/>
        <v>0</v>
      </c>
      <c r="M18" s="236">
        <f t="shared" si="3"/>
        <v>0</v>
      </c>
      <c r="N18" s="561" t="s">
        <v>269</v>
      </c>
      <c r="O18" s="412"/>
      <c r="P18" s="495"/>
      <c r="Q18" s="231"/>
      <c r="R18" s="231"/>
      <c r="S18" s="168"/>
    </row>
    <row r="19" spans="1:19" s="175" customFormat="1" ht="15" customHeight="1" hidden="1">
      <c r="A19" s="170"/>
      <c r="B19" s="195" t="s">
        <v>136</v>
      </c>
      <c r="C19" s="527" t="s">
        <v>137</v>
      </c>
      <c r="D19" s="498"/>
      <c r="E19" s="233"/>
      <c r="F19" s="233"/>
      <c r="G19" s="233"/>
      <c r="H19" s="558"/>
      <c r="I19" s="516"/>
      <c r="J19" s="498"/>
      <c r="K19" s="233"/>
      <c r="L19" s="233"/>
      <c r="M19" s="233"/>
      <c r="N19" s="558" t="s">
        <v>269</v>
      </c>
      <c r="O19" s="516"/>
      <c r="P19" s="504"/>
      <c r="Q19" s="505"/>
      <c r="R19" s="505"/>
      <c r="S19" s="292"/>
    </row>
    <row r="20" spans="1:19" s="175" customFormat="1" ht="15" customHeight="1" hidden="1" thickBot="1">
      <c r="A20" s="196"/>
      <c r="B20" s="197" t="s">
        <v>138</v>
      </c>
      <c r="C20" s="530" t="s">
        <v>139</v>
      </c>
      <c r="D20" s="502"/>
      <c r="E20" s="237"/>
      <c r="F20" s="237"/>
      <c r="G20" s="237"/>
      <c r="H20" s="562"/>
      <c r="I20" s="548"/>
      <c r="J20" s="502"/>
      <c r="K20" s="237"/>
      <c r="L20" s="237"/>
      <c r="M20" s="237"/>
      <c r="N20" s="562"/>
      <c r="O20" s="548"/>
      <c r="P20" s="502"/>
      <c r="Q20" s="237"/>
      <c r="R20" s="237"/>
      <c r="S20" s="199"/>
    </row>
    <row r="21" spans="1:19" ht="13.5" hidden="1" thickBot="1">
      <c r="A21" s="200" t="s">
        <v>63</v>
      </c>
      <c r="B21" s="333"/>
      <c r="C21" s="510" t="s">
        <v>140</v>
      </c>
      <c r="D21" s="500"/>
      <c r="E21" s="235"/>
      <c r="F21" s="235"/>
      <c r="G21" s="235"/>
      <c r="H21" s="560"/>
      <c r="I21" s="412"/>
      <c r="J21" s="500"/>
      <c r="K21" s="235"/>
      <c r="L21" s="235"/>
      <c r="M21" s="235"/>
      <c r="N21" s="560"/>
      <c r="O21" s="412"/>
      <c r="P21" s="500"/>
      <c r="Q21" s="235"/>
      <c r="R21" s="235"/>
      <c r="S21" s="190"/>
    </row>
    <row r="22" spans="1:19" s="163" customFormat="1" ht="16.5" customHeight="1" hidden="1" thickBot="1">
      <c r="A22" s="200" t="s">
        <v>64</v>
      </c>
      <c r="B22" s="334"/>
      <c r="C22" s="531" t="s">
        <v>141</v>
      </c>
      <c r="D22" s="503">
        <f aca="true" t="shared" si="4" ref="D22:M22">D17+D21+D18</f>
        <v>0</v>
      </c>
      <c r="E22" s="238">
        <f t="shared" si="4"/>
        <v>0</v>
      </c>
      <c r="F22" s="238">
        <f t="shared" si="4"/>
        <v>0</v>
      </c>
      <c r="G22" s="238">
        <f t="shared" si="4"/>
        <v>0</v>
      </c>
      <c r="H22" s="563" t="s">
        <v>269</v>
      </c>
      <c r="I22" s="412"/>
      <c r="J22" s="503">
        <f t="shared" si="4"/>
        <v>0</v>
      </c>
      <c r="K22" s="238">
        <f t="shared" si="4"/>
        <v>0</v>
      </c>
      <c r="L22" s="238">
        <f t="shared" si="4"/>
        <v>0</v>
      </c>
      <c r="M22" s="238">
        <f t="shared" si="4"/>
        <v>0</v>
      </c>
      <c r="N22" s="563" t="s">
        <v>269</v>
      </c>
      <c r="O22" s="412"/>
      <c r="P22" s="503"/>
      <c r="Q22" s="238"/>
      <c r="R22" s="238"/>
      <c r="S22" s="223"/>
    </row>
    <row r="23" spans="1:19" s="209" customFormat="1" ht="12" customHeight="1" hidden="1">
      <c r="A23" s="206"/>
      <c r="B23" s="206"/>
      <c r="C23" s="207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</row>
    <row r="24" spans="1:18" ht="12" customHeight="1" hidden="1" thickBot="1">
      <c r="A24" s="210"/>
      <c r="B24" s="211"/>
      <c r="C24" s="211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</row>
    <row r="25" spans="1:19" ht="12" customHeight="1" hidden="1" thickBot="1">
      <c r="A25" s="213"/>
      <c r="B25" s="214"/>
      <c r="C25" s="215" t="s">
        <v>142</v>
      </c>
      <c r="D25" s="229"/>
      <c r="E25" s="229"/>
      <c r="F25" s="229"/>
      <c r="G25" s="229"/>
      <c r="H25" s="229"/>
      <c r="I25" s="229"/>
      <c r="J25" s="238"/>
      <c r="K25" s="238"/>
      <c r="L25" s="229"/>
      <c r="M25" s="229"/>
      <c r="N25" s="229"/>
      <c r="O25" s="229"/>
      <c r="P25" s="205"/>
      <c r="Q25" s="205"/>
      <c r="R25" s="205"/>
      <c r="S25" s="205"/>
    </row>
    <row r="26" spans="1:19" ht="12" customHeight="1" hidden="1" thickBot="1">
      <c r="A26" s="180" t="s">
        <v>30</v>
      </c>
      <c r="B26" s="216"/>
      <c r="C26" s="506" t="s">
        <v>143</v>
      </c>
      <c r="D26" s="495">
        <f aca="true" t="shared" si="5" ref="D26:M26">SUM(D27:D31)</f>
        <v>0</v>
      </c>
      <c r="E26" s="231">
        <f t="shared" si="5"/>
        <v>0</v>
      </c>
      <c r="F26" s="231">
        <f t="shared" si="5"/>
        <v>0</v>
      </c>
      <c r="G26" s="231">
        <f>SUM(G27:G31)</f>
        <v>0</v>
      </c>
      <c r="H26" s="564" t="s">
        <v>269</v>
      </c>
      <c r="I26" s="491"/>
      <c r="J26" s="495">
        <f t="shared" si="5"/>
        <v>0</v>
      </c>
      <c r="K26" s="231">
        <f t="shared" si="5"/>
        <v>0</v>
      </c>
      <c r="L26" s="231">
        <f t="shared" si="5"/>
        <v>0</v>
      </c>
      <c r="M26" s="231">
        <f t="shared" si="5"/>
        <v>0</v>
      </c>
      <c r="N26" s="564" t="s">
        <v>269</v>
      </c>
      <c r="O26" s="491"/>
      <c r="P26" s="549"/>
      <c r="Q26" s="489"/>
      <c r="R26" s="168"/>
      <c r="S26" s="168"/>
    </row>
    <row r="27" spans="1:19" ht="12" customHeight="1" hidden="1">
      <c r="A27" s="217"/>
      <c r="B27" s="218" t="s">
        <v>117</v>
      </c>
      <c r="C27" s="507" t="s">
        <v>144</v>
      </c>
      <c r="D27" s="513"/>
      <c r="E27" s="239"/>
      <c r="F27" s="239"/>
      <c r="G27" s="239"/>
      <c r="H27" s="565"/>
      <c r="I27" s="492"/>
      <c r="J27" s="513"/>
      <c r="K27" s="239"/>
      <c r="L27" s="239"/>
      <c r="M27" s="239"/>
      <c r="N27" s="565"/>
      <c r="O27" s="492"/>
      <c r="P27" s="550"/>
      <c r="Q27" s="518"/>
      <c r="R27" s="174"/>
      <c r="S27" s="174"/>
    </row>
    <row r="28" spans="1:19" ht="12" customHeight="1" hidden="1">
      <c r="A28" s="219"/>
      <c r="B28" s="220" t="s">
        <v>118</v>
      </c>
      <c r="C28" s="508" t="s">
        <v>54</v>
      </c>
      <c r="D28" s="514"/>
      <c r="E28" s="240"/>
      <c r="F28" s="240"/>
      <c r="G28" s="240"/>
      <c r="H28" s="566"/>
      <c r="I28" s="538"/>
      <c r="J28" s="514"/>
      <c r="K28" s="240"/>
      <c r="L28" s="240"/>
      <c r="M28" s="240"/>
      <c r="N28" s="566"/>
      <c r="O28" s="538"/>
      <c r="P28" s="550"/>
      <c r="Q28" s="518"/>
      <c r="R28" s="174"/>
      <c r="S28" s="174"/>
    </row>
    <row r="29" spans="1:19" ht="12" customHeight="1" hidden="1">
      <c r="A29" s="219"/>
      <c r="B29" s="220" t="s">
        <v>119</v>
      </c>
      <c r="C29" s="508" t="s">
        <v>145</v>
      </c>
      <c r="D29" s="514"/>
      <c r="E29" s="240"/>
      <c r="F29" s="240"/>
      <c r="G29" s="240"/>
      <c r="H29" s="566"/>
      <c r="I29" s="538"/>
      <c r="J29" s="514"/>
      <c r="K29" s="240"/>
      <c r="L29" s="240"/>
      <c r="M29" s="240"/>
      <c r="N29" s="566"/>
      <c r="O29" s="538"/>
      <c r="P29" s="550"/>
      <c r="Q29" s="518"/>
      <c r="R29" s="174"/>
      <c r="S29" s="174"/>
    </row>
    <row r="30" spans="1:19" s="209" customFormat="1" ht="12" customHeight="1" hidden="1">
      <c r="A30" s="219"/>
      <c r="B30" s="220" t="s">
        <v>120</v>
      </c>
      <c r="C30" s="508" t="s">
        <v>87</v>
      </c>
      <c r="D30" s="514"/>
      <c r="E30" s="240"/>
      <c r="F30" s="240"/>
      <c r="G30" s="240"/>
      <c r="H30" s="566"/>
      <c r="I30" s="539"/>
      <c r="J30" s="514"/>
      <c r="K30" s="240"/>
      <c r="L30" s="240"/>
      <c r="M30" s="240"/>
      <c r="N30" s="566"/>
      <c r="O30" s="539"/>
      <c r="P30" s="550"/>
      <c r="Q30" s="518"/>
      <c r="R30" s="174"/>
      <c r="S30" s="174"/>
    </row>
    <row r="31" spans="1:19" ht="12" customHeight="1" hidden="1" thickBot="1">
      <c r="A31" s="219"/>
      <c r="B31" s="220" t="s">
        <v>53</v>
      </c>
      <c r="C31" s="508" t="s">
        <v>89</v>
      </c>
      <c r="D31" s="514"/>
      <c r="E31" s="240"/>
      <c r="F31" s="240"/>
      <c r="G31" s="240"/>
      <c r="H31" s="566"/>
      <c r="I31" s="540"/>
      <c r="J31" s="514"/>
      <c r="K31" s="240"/>
      <c r="L31" s="240"/>
      <c r="M31" s="240"/>
      <c r="N31" s="566"/>
      <c r="O31" s="540"/>
      <c r="P31" s="551"/>
      <c r="Q31" s="519"/>
      <c r="R31" s="221"/>
      <c r="S31" s="221"/>
    </row>
    <row r="32" spans="1:19" ht="12" customHeight="1" hidden="1" thickBot="1">
      <c r="A32" s="180" t="s">
        <v>31</v>
      </c>
      <c r="B32" s="216"/>
      <c r="C32" s="506" t="s">
        <v>146</v>
      </c>
      <c r="D32" s="495">
        <f>SUM(D33:D36)</f>
        <v>0</v>
      </c>
      <c r="E32" s="231">
        <f>SUM(E33:E36)</f>
        <v>0</v>
      </c>
      <c r="F32" s="231">
        <f>SUM(F33:F36)</f>
        <v>0</v>
      </c>
      <c r="G32" s="231">
        <f>SUM(G33:G36)</f>
        <v>0</v>
      </c>
      <c r="H32" s="564"/>
      <c r="I32" s="493"/>
      <c r="J32" s="495"/>
      <c r="K32" s="231"/>
      <c r="L32" s="231">
        <f>SUM(L33:L36)</f>
        <v>0</v>
      </c>
      <c r="M32" s="231">
        <f>SUM(M33:M36)</f>
        <v>0</v>
      </c>
      <c r="N32" s="564"/>
      <c r="O32" s="493"/>
      <c r="P32" s="549"/>
      <c r="Q32" s="489"/>
      <c r="R32" s="168"/>
      <c r="S32" s="168"/>
    </row>
    <row r="33" spans="1:19" ht="12" customHeight="1" hidden="1">
      <c r="A33" s="217"/>
      <c r="B33" s="218" t="s">
        <v>147</v>
      </c>
      <c r="C33" s="507" t="s">
        <v>99</v>
      </c>
      <c r="D33" s="513"/>
      <c r="E33" s="239"/>
      <c r="F33" s="239"/>
      <c r="G33" s="239"/>
      <c r="H33" s="565"/>
      <c r="I33" s="539"/>
      <c r="J33" s="513"/>
      <c r="K33" s="239"/>
      <c r="L33" s="239"/>
      <c r="M33" s="239"/>
      <c r="N33" s="565"/>
      <c r="O33" s="539"/>
      <c r="P33" s="550"/>
      <c r="Q33" s="518"/>
      <c r="R33" s="174"/>
      <c r="S33" s="174"/>
    </row>
    <row r="34" spans="1:19" ht="12" customHeight="1" hidden="1">
      <c r="A34" s="219"/>
      <c r="B34" s="220" t="s">
        <v>148</v>
      </c>
      <c r="C34" s="508" t="s">
        <v>100</v>
      </c>
      <c r="D34" s="514">
        <v>0</v>
      </c>
      <c r="E34" s="240">
        <v>0</v>
      </c>
      <c r="F34" s="240">
        <v>0</v>
      </c>
      <c r="G34" s="240">
        <v>0</v>
      </c>
      <c r="H34" s="566"/>
      <c r="I34" s="540"/>
      <c r="J34" s="514"/>
      <c r="K34" s="240"/>
      <c r="L34" s="240">
        <v>0</v>
      </c>
      <c r="M34" s="240">
        <v>0</v>
      </c>
      <c r="N34" s="566"/>
      <c r="O34" s="540"/>
      <c r="P34" s="551"/>
      <c r="Q34" s="519"/>
      <c r="R34" s="221"/>
      <c r="S34" s="221"/>
    </row>
    <row r="35" spans="1:19" ht="15" customHeight="1" hidden="1">
      <c r="A35" s="219"/>
      <c r="B35" s="220" t="s">
        <v>149</v>
      </c>
      <c r="C35" s="508" t="s">
        <v>150</v>
      </c>
      <c r="D35" s="514"/>
      <c r="E35" s="240"/>
      <c r="F35" s="240"/>
      <c r="G35" s="240"/>
      <c r="H35" s="566"/>
      <c r="I35" s="540"/>
      <c r="J35" s="514"/>
      <c r="K35" s="240"/>
      <c r="L35" s="240"/>
      <c r="M35" s="240"/>
      <c r="N35" s="566"/>
      <c r="O35" s="540"/>
      <c r="P35" s="551"/>
      <c r="Q35" s="519"/>
      <c r="R35" s="221"/>
      <c r="S35" s="221"/>
    </row>
    <row r="36" spans="1:19" ht="13.5" hidden="1" thickBot="1">
      <c r="A36" s="219"/>
      <c r="B36" s="220" t="s">
        <v>151</v>
      </c>
      <c r="C36" s="508" t="s">
        <v>152</v>
      </c>
      <c r="D36" s="514"/>
      <c r="E36" s="240"/>
      <c r="F36" s="240"/>
      <c r="G36" s="240"/>
      <c r="H36" s="566"/>
      <c r="I36" s="540"/>
      <c r="J36" s="514"/>
      <c r="K36" s="240"/>
      <c r="L36" s="240"/>
      <c r="M36" s="240"/>
      <c r="N36" s="566"/>
      <c r="O36" s="540"/>
      <c r="P36" s="551"/>
      <c r="Q36" s="519"/>
      <c r="R36" s="221"/>
      <c r="S36" s="221"/>
    </row>
    <row r="37" spans="1:19" ht="15" customHeight="1" hidden="1" thickBot="1">
      <c r="A37" s="180" t="s">
        <v>10</v>
      </c>
      <c r="B37" s="216"/>
      <c r="C37" s="509" t="s">
        <v>253</v>
      </c>
      <c r="D37" s="500"/>
      <c r="E37" s="235"/>
      <c r="F37" s="235"/>
      <c r="G37" s="235"/>
      <c r="H37" s="567" t="s">
        <v>269</v>
      </c>
      <c r="I37" s="491"/>
      <c r="J37" s="500"/>
      <c r="K37" s="235"/>
      <c r="L37" s="235"/>
      <c r="M37" s="235"/>
      <c r="N37" s="567" t="s">
        <v>269</v>
      </c>
      <c r="O37" s="491"/>
      <c r="P37" s="552"/>
      <c r="Q37" s="490"/>
      <c r="R37" s="190"/>
      <c r="S37" s="190"/>
    </row>
    <row r="38" spans="1:19" ht="14.25" customHeight="1" hidden="1" thickBot="1">
      <c r="A38" s="200" t="s">
        <v>11</v>
      </c>
      <c r="B38" s="333"/>
      <c r="C38" s="510" t="s">
        <v>154</v>
      </c>
      <c r="D38" s="500"/>
      <c r="E38" s="235"/>
      <c r="F38" s="235"/>
      <c r="G38" s="235"/>
      <c r="H38" s="567"/>
      <c r="I38" s="491"/>
      <c r="J38" s="500"/>
      <c r="K38" s="235"/>
      <c r="L38" s="235"/>
      <c r="M38" s="235"/>
      <c r="N38" s="567"/>
      <c r="O38" s="491"/>
      <c r="P38" s="552"/>
      <c r="Q38" s="490"/>
      <c r="R38" s="190"/>
      <c r="S38" s="190"/>
    </row>
    <row r="39" spans="1:19" ht="13.5" hidden="1" thickBot="1">
      <c r="A39" s="180" t="s">
        <v>12</v>
      </c>
      <c r="B39" s="222"/>
      <c r="C39" s="511" t="s">
        <v>155</v>
      </c>
      <c r="D39" s="503">
        <f aca="true" t="shared" si="6" ref="D39:M39">D26+D32+D37+D38</f>
        <v>0</v>
      </c>
      <c r="E39" s="238">
        <f t="shared" si="6"/>
        <v>0</v>
      </c>
      <c r="F39" s="238">
        <f t="shared" si="6"/>
        <v>0</v>
      </c>
      <c r="G39" s="238">
        <f t="shared" si="6"/>
        <v>0</v>
      </c>
      <c r="H39" s="568" t="s">
        <v>269</v>
      </c>
      <c r="I39" s="491"/>
      <c r="J39" s="503">
        <f t="shared" si="6"/>
        <v>0</v>
      </c>
      <c r="K39" s="238">
        <f t="shared" si="6"/>
        <v>0</v>
      </c>
      <c r="L39" s="238">
        <f t="shared" si="6"/>
        <v>0</v>
      </c>
      <c r="M39" s="238">
        <f t="shared" si="6"/>
        <v>0</v>
      </c>
      <c r="N39" s="568" t="s">
        <v>269</v>
      </c>
      <c r="O39" s="491"/>
      <c r="P39" s="553"/>
      <c r="Q39" s="205"/>
      <c r="R39" s="223"/>
      <c r="S39" s="223"/>
    </row>
    <row r="40" spans="1:19" ht="13.5" hidden="1" thickBot="1">
      <c r="A40" s="335"/>
      <c r="B40" s="336"/>
      <c r="C40" s="336"/>
      <c r="D40" s="544"/>
      <c r="E40" s="545"/>
      <c r="F40" s="545"/>
      <c r="G40" s="545"/>
      <c r="H40" s="569"/>
      <c r="I40" s="337"/>
      <c r="J40" s="544"/>
      <c r="K40" s="545"/>
      <c r="L40" s="545"/>
      <c r="M40" s="545"/>
      <c r="N40" s="569"/>
      <c r="O40" s="337"/>
      <c r="P40" s="554"/>
      <c r="Q40" s="337"/>
      <c r="R40" s="337"/>
      <c r="S40" s="337"/>
    </row>
    <row r="41" spans="1:19" ht="13.5" hidden="1" thickBot="1">
      <c r="A41" s="226" t="s">
        <v>156</v>
      </c>
      <c r="B41" s="227"/>
      <c r="C41" s="512"/>
      <c r="D41" s="524"/>
      <c r="E41" s="243"/>
      <c r="F41" s="243"/>
      <c r="G41" s="243"/>
      <c r="H41" s="570"/>
      <c r="I41" s="491"/>
      <c r="J41" s="524"/>
      <c r="K41" s="243"/>
      <c r="L41" s="243"/>
      <c r="M41" s="243"/>
      <c r="N41" s="570"/>
      <c r="O41" s="491"/>
      <c r="P41" s="555"/>
      <c r="Q41" s="242"/>
      <c r="R41" s="242"/>
      <c r="S41" s="242"/>
    </row>
    <row r="42" spans="1:19" ht="13.5" hidden="1" thickBot="1">
      <c r="A42" s="226" t="s">
        <v>157</v>
      </c>
      <c r="B42" s="227"/>
      <c r="C42" s="512"/>
      <c r="D42" s="524"/>
      <c r="E42" s="243"/>
      <c r="F42" s="243"/>
      <c r="G42" s="243"/>
      <c r="H42" s="570"/>
      <c r="I42" s="491"/>
      <c r="J42" s="524"/>
      <c r="K42" s="243"/>
      <c r="L42" s="243"/>
      <c r="M42" s="243"/>
      <c r="N42" s="570"/>
      <c r="O42" s="491"/>
      <c r="P42" s="555"/>
      <c r="Q42" s="242"/>
      <c r="R42" s="242"/>
      <c r="S42" s="242"/>
    </row>
    <row r="43" ht="12.75" hidden="1"/>
    <row r="44" spans="1:9" ht="12.75" hidden="1">
      <c r="A44" s="1186" t="s">
        <v>158</v>
      </c>
      <c r="B44" s="1186"/>
      <c r="C44" s="1186"/>
      <c r="D44" s="1186"/>
      <c r="E44" s="316"/>
      <c r="F44" s="316"/>
      <c r="G44" s="316"/>
      <c r="H44" s="316"/>
      <c r="I44" s="316"/>
    </row>
    <row r="45" spans="1:9" ht="12.75" hidden="1">
      <c r="A45" s="1186"/>
      <c r="B45" s="1186"/>
      <c r="C45" s="1186"/>
      <c r="E45" s="339"/>
      <c r="F45" s="339"/>
      <c r="G45" s="339"/>
      <c r="H45" s="339"/>
      <c r="I45" s="339"/>
    </row>
    <row r="46" spans="4:9" ht="12.75" hidden="1">
      <c r="D46" s="339">
        <v>0</v>
      </c>
      <c r="E46" s="339"/>
      <c r="F46" s="339"/>
      <c r="G46" s="339"/>
      <c r="H46" s="339"/>
      <c r="I46" s="339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4"/>
  <sheetViews>
    <sheetView view="pageBreakPreview" zoomScale="60" zoomScaleNormal="70" zoomScalePageLayoutView="0" workbookViewId="0" topLeftCell="A40">
      <selection activeCell="AB23" sqref="AB23"/>
    </sheetView>
  </sheetViews>
  <sheetFormatPr defaultColWidth="9.140625" defaultRowHeight="12.75"/>
  <cols>
    <col min="1" max="1" width="2.8515625" style="123" customWidth="1"/>
    <col min="2" max="2" width="3.8515625" style="130" customWidth="1"/>
    <col min="3" max="3" width="5.28125" style="130" customWidth="1"/>
    <col min="4" max="4" width="66.57421875" style="131" customWidth="1"/>
    <col min="5" max="5" width="13.28125" style="1" bestFit="1" customWidth="1"/>
    <col min="6" max="7" width="13.140625" style="1" hidden="1" customWidth="1"/>
    <col min="8" max="8" width="13.421875" style="1" hidden="1" customWidth="1"/>
    <col min="9" max="9" width="13.00390625" style="1" hidden="1" customWidth="1"/>
    <col min="10" max="10" width="13.140625" style="1" bestFit="1" customWidth="1"/>
    <col min="11" max="12" width="13.00390625" style="1" customWidth="1"/>
    <col min="13" max="13" width="13.140625" style="81" bestFit="1" customWidth="1"/>
    <col min="14" max="16" width="13.00390625" style="81" hidden="1" customWidth="1"/>
    <col min="17" max="17" width="2.421875" style="81" hidden="1" customWidth="1"/>
    <col min="18" max="18" width="13.00390625" style="81" hidden="1" customWidth="1"/>
    <col min="19" max="19" width="13.140625" style="81" bestFit="1" customWidth="1"/>
    <col min="20" max="20" width="13.00390625" style="81" customWidth="1"/>
    <col min="21" max="21" width="14.140625" style="81" customWidth="1"/>
    <col min="22" max="22" width="11.421875" style="81" bestFit="1" customWidth="1"/>
    <col min="23" max="24" width="11.28125" style="81" hidden="1" customWidth="1"/>
    <col min="25" max="25" width="11.57421875" style="81" hidden="1" customWidth="1"/>
    <col min="26" max="26" width="11.421875" style="81" hidden="1" customWidth="1"/>
    <col min="27" max="27" width="11.28125" style="81" bestFit="1" customWidth="1"/>
    <col min="28" max="29" width="10.57421875" style="81" customWidth="1"/>
    <col min="30" max="30" width="14.28125" style="81" bestFit="1" customWidth="1"/>
    <col min="31" max="32" width="10.57421875" style="1" hidden="1" customWidth="1"/>
    <col min="33" max="34" width="11.421875" style="1" hidden="1" customWidth="1"/>
    <col min="35" max="35" width="10.7109375" style="1" bestFit="1" customWidth="1"/>
    <col min="36" max="36" width="10.57421875" style="1" customWidth="1"/>
    <col min="37" max="37" width="11.7109375" style="1" customWidth="1"/>
    <col min="38" max="38" width="9.140625" style="1" hidden="1" customWidth="1"/>
    <col min="39" max="16384" width="9.140625" style="1" customWidth="1"/>
  </cols>
  <sheetData>
    <row r="1" spans="1:30" ht="24.75" customHeight="1">
      <c r="A1" s="1142" t="s">
        <v>8</v>
      </c>
      <c r="B1" s="1142"/>
      <c r="C1" s="1142"/>
      <c r="D1" s="1142"/>
      <c r="E1" s="1142"/>
      <c r="F1" s="1142"/>
      <c r="G1" s="1142"/>
      <c r="H1" s="1142"/>
      <c r="I1" s="1142"/>
      <c r="J1" s="1142"/>
      <c r="K1" s="1142"/>
      <c r="L1" s="1142"/>
      <c r="M1" s="1142"/>
      <c r="N1" s="1142"/>
      <c r="O1" s="1142"/>
      <c r="P1" s="1142"/>
      <c r="Q1" s="1142"/>
      <c r="R1" s="1142"/>
      <c r="S1" s="1142"/>
      <c r="T1" s="1142"/>
      <c r="U1" s="1142"/>
      <c r="V1" s="1142"/>
      <c r="W1" s="1142"/>
      <c r="X1" s="1142"/>
      <c r="Y1" s="1142"/>
      <c r="Z1" s="1142"/>
      <c r="AA1" s="1142"/>
      <c r="AB1" s="1142"/>
      <c r="AC1" s="1142"/>
      <c r="AD1" s="1142"/>
    </row>
    <row r="2" spans="1:30" ht="14.25" customHeight="1" thickBot="1">
      <c r="A2" s="1144" t="s">
        <v>207</v>
      </c>
      <c r="B2" s="1144"/>
      <c r="C2" s="122"/>
      <c r="D2" s="132"/>
      <c r="AD2" s="138" t="s">
        <v>2</v>
      </c>
    </row>
    <row r="3" spans="1:37" s="2" customFormat="1" ht="48.75" customHeight="1" thickBot="1">
      <c r="A3" s="1143" t="s">
        <v>4</v>
      </c>
      <c r="B3" s="1112"/>
      <c r="C3" s="1112"/>
      <c r="D3" s="1112"/>
      <c r="E3" s="473" t="s">
        <v>5</v>
      </c>
      <c r="F3" s="420"/>
      <c r="G3" s="420"/>
      <c r="H3" s="420"/>
      <c r="I3" s="420"/>
      <c r="J3" s="421"/>
      <c r="K3" s="1018"/>
      <c r="L3" s="1018"/>
      <c r="M3" s="473" t="s">
        <v>67</v>
      </c>
      <c r="N3" s="420"/>
      <c r="O3" s="420"/>
      <c r="P3" s="420"/>
      <c r="Q3" s="420"/>
      <c r="R3" s="420"/>
      <c r="S3" s="982"/>
      <c r="T3" s="982"/>
      <c r="U3" s="421"/>
      <c r="V3" s="473" t="s">
        <v>68</v>
      </c>
      <c r="W3" s="420"/>
      <c r="X3" s="420"/>
      <c r="Y3" s="420"/>
      <c r="Z3" s="420"/>
      <c r="AA3" s="421"/>
      <c r="AB3" s="1018"/>
      <c r="AC3" s="1018"/>
      <c r="AD3" s="1145" t="s">
        <v>72</v>
      </c>
      <c r="AE3" s="1146"/>
      <c r="AF3" s="1146"/>
      <c r="AG3" s="1146"/>
      <c r="AH3" s="1146"/>
      <c r="AI3" s="1146"/>
      <c r="AJ3" s="1147"/>
      <c r="AK3" s="1148"/>
    </row>
    <row r="4" spans="1:38" s="2" customFormat="1" ht="32.25" thickBot="1">
      <c r="A4" s="315"/>
      <c r="B4" s="313"/>
      <c r="C4" s="313"/>
      <c r="D4" s="313"/>
      <c r="E4" s="370" t="s">
        <v>71</v>
      </c>
      <c r="F4" s="371" t="s">
        <v>245</v>
      </c>
      <c r="G4" s="371" t="s">
        <v>248</v>
      </c>
      <c r="H4" s="371" t="s">
        <v>251</v>
      </c>
      <c r="I4" s="371" t="s">
        <v>267</v>
      </c>
      <c r="J4" s="372" t="s">
        <v>271</v>
      </c>
      <c r="K4" s="313" t="s">
        <v>254</v>
      </c>
      <c r="L4" s="313" t="s">
        <v>255</v>
      </c>
      <c r="M4" s="370" t="s">
        <v>71</v>
      </c>
      <c r="N4" s="371" t="s">
        <v>245</v>
      </c>
      <c r="O4" s="371" t="s">
        <v>248</v>
      </c>
      <c r="P4" s="371" t="s">
        <v>251</v>
      </c>
      <c r="Q4" s="371"/>
      <c r="R4" s="371" t="s">
        <v>267</v>
      </c>
      <c r="S4" s="371" t="s">
        <v>271</v>
      </c>
      <c r="T4" s="313" t="s">
        <v>254</v>
      </c>
      <c r="U4" s="313" t="s">
        <v>255</v>
      </c>
      <c r="V4" s="370" t="s">
        <v>71</v>
      </c>
      <c r="W4" s="371" t="s">
        <v>245</v>
      </c>
      <c r="X4" s="371" t="s">
        <v>248</v>
      </c>
      <c r="Y4" s="371" t="s">
        <v>251</v>
      </c>
      <c r="Z4" s="371" t="s">
        <v>267</v>
      </c>
      <c r="AA4" s="372" t="s">
        <v>271</v>
      </c>
      <c r="AB4" s="313" t="s">
        <v>254</v>
      </c>
      <c r="AC4" s="313" t="s">
        <v>255</v>
      </c>
      <c r="AD4" s="370" t="s">
        <v>71</v>
      </c>
      <c r="AE4" s="371" t="s">
        <v>245</v>
      </c>
      <c r="AF4" s="371" t="s">
        <v>248</v>
      </c>
      <c r="AG4" s="371" t="s">
        <v>251</v>
      </c>
      <c r="AH4" s="371" t="s">
        <v>267</v>
      </c>
      <c r="AI4" s="371" t="s">
        <v>271</v>
      </c>
      <c r="AJ4" s="313" t="s">
        <v>254</v>
      </c>
      <c r="AK4" s="313" t="s">
        <v>255</v>
      </c>
      <c r="AL4" s="949"/>
    </row>
    <row r="5" spans="1:37" s="80" customFormat="1" ht="33" customHeight="1" thickBot="1">
      <c r="A5" s="115" t="s">
        <v>30</v>
      </c>
      <c r="B5" s="1135" t="s">
        <v>84</v>
      </c>
      <c r="C5" s="1135"/>
      <c r="D5" s="1135"/>
      <c r="E5" s="373">
        <f aca="true" t="shared" si="0" ref="E5:O5">SUM(E6:E10)</f>
        <v>479865</v>
      </c>
      <c r="F5" s="302">
        <f t="shared" si="0"/>
        <v>484870</v>
      </c>
      <c r="G5" s="302">
        <f t="shared" si="0"/>
        <v>501160</v>
      </c>
      <c r="H5" s="302">
        <f>SUM(H6:H10)</f>
        <v>505904</v>
      </c>
      <c r="I5" s="302">
        <f>SUM(I6:I10)</f>
        <v>515850</v>
      </c>
      <c r="J5" s="302">
        <f>SUM(J6:J10)</f>
        <v>603025</v>
      </c>
      <c r="K5" s="302">
        <f>SUM(K6:K10)</f>
        <v>461914</v>
      </c>
      <c r="L5" s="831">
        <f>K5/J5</f>
        <v>0.7659947763359728</v>
      </c>
      <c r="M5" s="373">
        <f t="shared" si="0"/>
        <v>460830</v>
      </c>
      <c r="N5" s="302">
        <f>SUM(N6:N10)</f>
        <v>465835</v>
      </c>
      <c r="O5" s="302">
        <f t="shared" si="0"/>
        <v>482055</v>
      </c>
      <c r="P5" s="302">
        <f>SUM(P6:P10)</f>
        <v>486799</v>
      </c>
      <c r="Q5" s="302"/>
      <c r="R5" s="302">
        <f>SUM(R6:R10)</f>
        <v>496745</v>
      </c>
      <c r="S5" s="302">
        <f>SUM(S6:S10)</f>
        <v>584654</v>
      </c>
      <c r="T5" s="302">
        <f>SUM(T6:T10)</f>
        <v>447111</v>
      </c>
      <c r="U5" s="831">
        <f>T5/S5</f>
        <v>0.7647446181844304</v>
      </c>
      <c r="V5" s="373">
        <f aca="true" t="shared" si="1" ref="V5:AF5">SUM(V6:V10)</f>
        <v>19035</v>
      </c>
      <c r="W5" s="302">
        <f>SUM(W6:W10)</f>
        <v>19035</v>
      </c>
      <c r="X5" s="302">
        <f t="shared" si="1"/>
        <v>19105</v>
      </c>
      <c r="Y5" s="302">
        <f>SUM(Y6:Y10)</f>
        <v>19105</v>
      </c>
      <c r="Z5" s="302">
        <f>SUM(Z6:Z10)</f>
        <v>19105</v>
      </c>
      <c r="AA5" s="302">
        <f>SUM(AA6:AA10)</f>
        <v>18371</v>
      </c>
      <c r="AB5" s="302">
        <f>SUM(AB6:AB10)</f>
        <v>14803</v>
      </c>
      <c r="AC5" s="831">
        <f>AB5/AA5</f>
        <v>0.8057808502531163</v>
      </c>
      <c r="AD5" s="373">
        <f t="shared" si="1"/>
        <v>6883</v>
      </c>
      <c r="AE5" s="302">
        <f t="shared" si="1"/>
        <v>6883</v>
      </c>
      <c r="AF5" s="302">
        <f t="shared" si="1"/>
        <v>6883</v>
      </c>
      <c r="AG5" s="302">
        <f>SUM(AG6:AG10)</f>
        <v>6883</v>
      </c>
      <c r="AH5" s="302">
        <f>SUM(AH6:AH10)</f>
        <v>6883</v>
      </c>
      <c r="AI5" s="302">
        <f>SUM(AI6:AI10)</f>
        <v>6883</v>
      </c>
      <c r="AJ5" s="302">
        <f>SUM(AJ6:AJ10)</f>
        <v>6877</v>
      </c>
      <c r="AK5" s="831">
        <f>AJ5/AI5</f>
        <v>0.9991282870841203</v>
      </c>
    </row>
    <row r="6" spans="1:37" s="5" customFormat="1" ht="33" customHeight="1">
      <c r="A6" s="114"/>
      <c r="B6" s="119" t="s">
        <v>39</v>
      </c>
      <c r="C6" s="119"/>
      <c r="D6" s="363" t="s">
        <v>0</v>
      </c>
      <c r="E6" s="374">
        <f>'4.sz.m.ÖNK kiadás'!E7+'5.1 sz. m Köz Hiv'!D31+'5.2 sz. m ÁMK'!D30+'üres lap'!D27</f>
        <v>163675</v>
      </c>
      <c r="F6" s="304">
        <f>'4.sz.m.ÖNK kiadás'!F7+'5.1 sz. m Köz Hiv'!E31+'5.2 sz. m ÁMK'!E30+'üres lap'!E27</f>
        <v>163675</v>
      </c>
      <c r="G6" s="304">
        <f>'4.sz.m.ÖNK kiadás'!G7+'5.1 sz. m Köz Hiv'!F31+'5.2 sz. m ÁMK'!F30+'üres lap'!F27</f>
        <v>163675</v>
      </c>
      <c r="H6" s="304">
        <f>'4.sz.m.ÖNK kiadás'!H7+'5.1 sz. m Köz Hiv'!G31+'5.2 sz. m ÁMK'!G30+'üres lap'!G27</f>
        <v>163675</v>
      </c>
      <c r="I6" s="304">
        <f>'4.sz.m.ÖNK kiadás'!I7+'5.1 sz. m Köz Hiv'!H31+'5.2 sz. m ÁMK'!H30+'üres lap'!H27</f>
        <v>164485</v>
      </c>
      <c r="J6" s="304">
        <f>'4.sz.m.ÖNK kiadás'!J7+'5.1 sz. m Köz Hiv'!I31+'5.2 sz. m ÁMK'!I30+'üres lap'!I27</f>
        <v>165249</v>
      </c>
      <c r="K6" s="304">
        <f>'4.sz.m.ÖNK kiadás'!K7+'5.1 sz. m Köz Hiv'!J31+'5.2 sz. m ÁMK'!J30+'üres lap'!J27</f>
        <v>149512</v>
      </c>
      <c r="L6" s="836">
        <f aca="true" t="shared" si="2" ref="L6:L36">K6/J6</f>
        <v>0.9047679562357412</v>
      </c>
      <c r="M6" s="374">
        <f aca="true" t="shared" si="3" ref="M6:P13">E6-V6</f>
        <v>163675</v>
      </c>
      <c r="N6" s="304">
        <f t="shared" si="3"/>
        <v>163675</v>
      </c>
      <c r="O6" s="304">
        <f t="shared" si="3"/>
        <v>163675</v>
      </c>
      <c r="P6" s="304">
        <f t="shared" si="3"/>
        <v>163675</v>
      </c>
      <c r="Q6" s="304"/>
      <c r="R6" s="304">
        <f aca="true" t="shared" si="4" ref="R6:T13">I6-Z6</f>
        <v>164485</v>
      </c>
      <c r="S6" s="304">
        <f t="shared" si="4"/>
        <v>165249</v>
      </c>
      <c r="T6" s="304">
        <f t="shared" si="4"/>
        <v>149512</v>
      </c>
      <c r="U6" s="836">
        <f aca="true" t="shared" si="5" ref="U6:U36">T6/S6</f>
        <v>0.9047679562357412</v>
      </c>
      <c r="V6" s="374">
        <f>'4.sz.m.ÖNK kiadás'!U7</f>
        <v>0</v>
      </c>
      <c r="W6" s="304">
        <f>'4.sz.m.ÖNK kiadás'!V7</f>
        <v>0</v>
      </c>
      <c r="X6" s="304">
        <f>'4.sz.m.ÖNK kiadás'!W7</f>
        <v>0</v>
      </c>
      <c r="Y6" s="304">
        <f>'4.sz.m.ÖNK kiadás'!X7</f>
        <v>0</v>
      </c>
      <c r="Z6" s="304">
        <f>'4.sz.m.ÖNK kiadás'!Y7</f>
        <v>0</v>
      </c>
      <c r="AA6" s="304">
        <f>'4.sz.m.ÖNK kiadás'!Z7</f>
        <v>0</v>
      </c>
      <c r="AB6" s="304">
        <f>'4.sz.m.ÖNK kiadás'!AA7</f>
        <v>0</v>
      </c>
      <c r="AC6" s="836"/>
      <c r="AD6" s="374">
        <f>'5.1 sz. m Köz Hiv'!T31</f>
        <v>4511</v>
      </c>
      <c r="AE6" s="304">
        <f>'5.1 sz. m Köz Hiv'!U31</f>
        <v>4511</v>
      </c>
      <c r="AF6" s="304">
        <f>'5.1 sz. m Köz Hiv'!V31</f>
        <v>4511</v>
      </c>
      <c r="AG6" s="304">
        <f>'5.1 sz. m Köz Hiv'!W31</f>
        <v>4511</v>
      </c>
      <c r="AH6" s="304">
        <f>'5.1 sz. m Köz Hiv'!X31</f>
        <v>4511</v>
      </c>
      <c r="AI6" s="304">
        <f>'5.1 sz. m Köz Hiv'!Y31</f>
        <v>4511</v>
      </c>
      <c r="AJ6" s="304">
        <f>'5.1 sz. m Köz Hiv'!Z31</f>
        <v>4422</v>
      </c>
      <c r="AK6" s="836">
        <f>AJ6/AI6</f>
        <v>0.980270450011084</v>
      </c>
    </row>
    <row r="7" spans="1:37" s="5" customFormat="1" ht="33" customHeight="1">
      <c r="A7" s="97"/>
      <c r="B7" s="106" t="s">
        <v>40</v>
      </c>
      <c r="C7" s="106"/>
      <c r="D7" s="364" t="s">
        <v>85</v>
      </c>
      <c r="E7" s="374">
        <f>'4.sz.m.ÖNK kiadás'!E8+'5.1 sz. m Köz Hiv'!D32+'5.2 sz. m ÁMK'!D31+'üres lap'!D28</f>
        <v>44019</v>
      </c>
      <c r="F7" s="304">
        <f>'4.sz.m.ÖNK kiadás'!F8+'5.1 sz. m Köz Hiv'!E32+'5.2 sz. m ÁMK'!E31+'üres lap'!E28</f>
        <v>44019</v>
      </c>
      <c r="G7" s="304">
        <f>'4.sz.m.ÖNK kiadás'!G8+'5.1 sz. m Köz Hiv'!F32+'5.2 sz. m ÁMK'!F31+'üres lap'!F28</f>
        <v>44019</v>
      </c>
      <c r="H7" s="304">
        <f>'4.sz.m.ÖNK kiadás'!H8+'5.1 sz. m Köz Hiv'!G32+'5.2 sz. m ÁMK'!G31+'üres lap'!G28</f>
        <v>44019</v>
      </c>
      <c r="I7" s="304">
        <f>'4.sz.m.ÖNK kiadás'!I8+'5.1 sz. m Köz Hiv'!H32+'5.2 sz. m ÁMK'!H31+'üres lap'!H28</f>
        <v>44238</v>
      </c>
      <c r="J7" s="304">
        <f>'4.sz.m.ÖNK kiadás'!J8+'5.1 sz. m Köz Hiv'!I32+'5.2 sz. m ÁMK'!I31+'üres lap'!I28</f>
        <v>41723</v>
      </c>
      <c r="K7" s="304">
        <f>'4.sz.m.ÖNK kiadás'!K8+'5.1 sz. m Köz Hiv'!J32+'5.2 sz. m ÁMK'!J31+'üres lap'!J28</f>
        <v>39238</v>
      </c>
      <c r="L7" s="836">
        <f t="shared" si="2"/>
        <v>0.9404405244109963</v>
      </c>
      <c r="M7" s="374">
        <f t="shared" si="3"/>
        <v>44019</v>
      </c>
      <c r="N7" s="304">
        <f t="shared" si="3"/>
        <v>44019</v>
      </c>
      <c r="O7" s="304">
        <f t="shared" si="3"/>
        <v>44019</v>
      </c>
      <c r="P7" s="304">
        <f t="shared" si="3"/>
        <v>44019</v>
      </c>
      <c r="Q7" s="304"/>
      <c r="R7" s="304">
        <f t="shared" si="4"/>
        <v>44238</v>
      </c>
      <c r="S7" s="304">
        <f t="shared" si="4"/>
        <v>41723</v>
      </c>
      <c r="T7" s="304">
        <f t="shared" si="4"/>
        <v>39238</v>
      </c>
      <c r="U7" s="836">
        <f t="shared" si="5"/>
        <v>0.9404405244109963</v>
      </c>
      <c r="V7" s="374">
        <f>'4.sz.m.ÖNK kiadás'!U8</f>
        <v>0</v>
      </c>
      <c r="W7" s="304">
        <f>'4.sz.m.ÖNK kiadás'!V8</f>
        <v>0</v>
      </c>
      <c r="X7" s="304">
        <f>'4.sz.m.ÖNK kiadás'!W8</f>
        <v>0</v>
      </c>
      <c r="Y7" s="304">
        <f>'4.sz.m.ÖNK kiadás'!X8</f>
        <v>0</v>
      </c>
      <c r="Z7" s="304">
        <f>'4.sz.m.ÖNK kiadás'!Y8</f>
        <v>0</v>
      </c>
      <c r="AA7" s="304">
        <f>'4.sz.m.ÖNK kiadás'!Z8</f>
        <v>0</v>
      </c>
      <c r="AB7" s="304">
        <f>'4.sz.m.ÖNK kiadás'!AA8</f>
        <v>0</v>
      </c>
      <c r="AC7" s="836"/>
      <c r="AD7" s="374">
        <f>'5.1 sz. m Köz Hiv'!T32</f>
        <v>1036</v>
      </c>
      <c r="AE7" s="304">
        <f>'5.1 sz. m Köz Hiv'!U32</f>
        <v>1036</v>
      </c>
      <c r="AF7" s="304">
        <f>'5.1 sz. m Köz Hiv'!V32</f>
        <v>1036</v>
      </c>
      <c r="AG7" s="304">
        <f>'5.1 sz. m Köz Hiv'!W32</f>
        <v>1036</v>
      </c>
      <c r="AH7" s="304">
        <f>'5.1 sz. m Köz Hiv'!X32</f>
        <v>1036</v>
      </c>
      <c r="AI7" s="304">
        <f>'5.1 sz. m Köz Hiv'!Y32</f>
        <v>1036</v>
      </c>
      <c r="AJ7" s="304">
        <f>'5.1 sz. m Köz Hiv'!Z32</f>
        <v>1213</v>
      </c>
      <c r="AK7" s="836">
        <f>AJ7/AI7</f>
        <v>1.170849420849421</v>
      </c>
    </row>
    <row r="8" spans="1:37" s="5" customFormat="1" ht="33" customHeight="1">
      <c r="A8" s="97"/>
      <c r="B8" s="106" t="s">
        <v>41</v>
      </c>
      <c r="C8" s="106"/>
      <c r="D8" s="364" t="s">
        <v>86</v>
      </c>
      <c r="E8" s="374">
        <f>'4.sz.m.ÖNK kiadás'!E9+'5.1 sz. m Köz Hiv'!D33+'5.2 sz. m ÁMK'!D32+'üres lap'!D29</f>
        <v>139996</v>
      </c>
      <c r="F8" s="304">
        <f>'4.sz.m.ÖNK kiadás'!F9+'5.1 sz. m Köz Hiv'!E33+'5.2 sz. m ÁMK'!E32+'üres lap'!E29</f>
        <v>139996</v>
      </c>
      <c r="G8" s="304">
        <f>'4.sz.m.ÖNK kiadás'!G9+'5.1 sz. m Köz Hiv'!F33+'5.2 sz. m ÁMK'!F32+'üres lap'!F29</f>
        <v>146929</v>
      </c>
      <c r="H8" s="304">
        <f>'4.sz.m.ÖNK kiadás'!H9+'5.1 sz. m Köz Hiv'!G33+'5.2 sz. m ÁMK'!G32+'üres lap'!G29</f>
        <v>151152</v>
      </c>
      <c r="I8" s="304">
        <f>'4.sz.m.ÖNK kiadás'!I9+'5.1 sz. m Köz Hiv'!H33+'5.2 sz. m ÁMK'!H32+'üres lap'!H29</f>
        <v>154379</v>
      </c>
      <c r="J8" s="304">
        <f>'4.sz.m.ÖNK kiadás'!J9+'5.1 sz. m Köz Hiv'!I33+'5.2 sz. m ÁMK'!I32+'üres lap'!I29</f>
        <v>237556</v>
      </c>
      <c r="K8" s="304">
        <f>'4.sz.m.ÖNK kiadás'!K9+'5.1 sz. m Köz Hiv'!J33+'5.2 sz. m ÁMK'!J32+'üres lap'!J29</f>
        <v>119832</v>
      </c>
      <c r="L8" s="836">
        <f t="shared" si="2"/>
        <v>0.5044368485746519</v>
      </c>
      <c r="M8" s="374">
        <f t="shared" si="3"/>
        <v>138861</v>
      </c>
      <c r="N8" s="304">
        <f t="shared" si="3"/>
        <v>138861</v>
      </c>
      <c r="O8" s="304">
        <f t="shared" si="3"/>
        <v>145794</v>
      </c>
      <c r="P8" s="304">
        <f t="shared" si="3"/>
        <v>150017</v>
      </c>
      <c r="Q8" s="304"/>
      <c r="R8" s="304">
        <f t="shared" si="4"/>
        <v>153244</v>
      </c>
      <c r="S8" s="304">
        <f t="shared" si="4"/>
        <v>236421</v>
      </c>
      <c r="T8" s="304">
        <f t="shared" si="4"/>
        <v>118260</v>
      </c>
      <c r="U8" s="836">
        <f t="shared" si="5"/>
        <v>0.5002093722638852</v>
      </c>
      <c r="V8" s="374">
        <f>'4.sz.m.ÖNK kiadás'!U9</f>
        <v>1135</v>
      </c>
      <c r="W8" s="304">
        <f>'4.sz.m.ÖNK kiadás'!V9</f>
        <v>1135</v>
      </c>
      <c r="X8" s="304">
        <f>'4.sz.m.ÖNK kiadás'!W9</f>
        <v>1135</v>
      </c>
      <c r="Y8" s="304">
        <f>'4.sz.m.ÖNK kiadás'!X9</f>
        <v>1135</v>
      </c>
      <c r="Z8" s="304">
        <f>'4.sz.m.ÖNK kiadás'!Y9</f>
        <v>1135</v>
      </c>
      <c r="AA8" s="304">
        <f>'4.sz.m.ÖNK kiadás'!Z9</f>
        <v>1135</v>
      </c>
      <c r="AB8" s="304">
        <f>'4.sz.m.ÖNK kiadás'!AA9</f>
        <v>1572</v>
      </c>
      <c r="AC8" s="836">
        <f aca="true" t="shared" si="6" ref="AC8:AC36">AB8/AA8</f>
        <v>1.3850220264317181</v>
      </c>
      <c r="AD8" s="374">
        <f>'5.1 sz. m Köz Hiv'!T33</f>
        <v>1336</v>
      </c>
      <c r="AE8" s="304">
        <f>'5.1 sz. m Köz Hiv'!U33</f>
        <v>1336</v>
      </c>
      <c r="AF8" s="304">
        <f>'5.1 sz. m Köz Hiv'!V33</f>
        <v>1336</v>
      </c>
      <c r="AG8" s="304">
        <f>'5.1 sz. m Köz Hiv'!W33</f>
        <v>1336</v>
      </c>
      <c r="AH8" s="304">
        <f>'5.1 sz. m Köz Hiv'!X33</f>
        <v>1336</v>
      </c>
      <c r="AI8" s="304">
        <f>'5.1 sz. m Köz Hiv'!Y33</f>
        <v>1336</v>
      </c>
      <c r="AJ8" s="304">
        <f>'5.1 sz. m Köz Hiv'!Z33</f>
        <v>1242</v>
      </c>
      <c r="AK8" s="836">
        <f>AJ8/AI8</f>
        <v>0.9296407185628742</v>
      </c>
    </row>
    <row r="9" spans="1:37" s="5" customFormat="1" ht="33" customHeight="1">
      <c r="A9" s="97"/>
      <c r="B9" s="106" t="s">
        <v>52</v>
      </c>
      <c r="C9" s="106"/>
      <c r="D9" s="364" t="s">
        <v>87</v>
      </c>
      <c r="E9" s="374">
        <f>'4.sz.m.ÖNK kiadás'!E10+'5.1 sz. m Köz Hiv'!D34+'5.2 sz. m ÁMK'!D33+'üres lap'!D30</f>
        <v>6080</v>
      </c>
      <c r="F9" s="304">
        <f>'4.sz.m.ÖNK kiadás'!F10+'5.1 sz. m Köz Hiv'!E34+'5.2 sz. m ÁMK'!E33+'üres lap'!E30</f>
        <v>6080</v>
      </c>
      <c r="G9" s="304">
        <f>'4.sz.m.ÖNK kiadás'!G10+'5.1 sz. m Köz Hiv'!F34+'5.2 sz. m ÁMK'!F33+'üres lap'!F30</f>
        <v>6570</v>
      </c>
      <c r="H9" s="304">
        <f>'4.sz.m.ÖNK kiadás'!H10+'5.1 sz. m Köz Hiv'!G34+'5.2 sz. m ÁMK'!G33+'üres lap'!G30</f>
        <v>6850</v>
      </c>
      <c r="I9" s="304">
        <f>'4.sz.m.ÖNK kiadás'!I10+'5.1 sz. m Köz Hiv'!H34+'5.2 sz. m ÁMK'!H33+'üres lap'!H30</f>
        <v>8541</v>
      </c>
      <c r="J9" s="304">
        <f>'4.sz.m.ÖNK kiadás'!J10+'5.1 sz. m Köz Hiv'!I34+'5.2 sz. m ÁMK'!I33+'üres lap'!I30</f>
        <v>7612</v>
      </c>
      <c r="K9" s="304">
        <f>'4.sz.m.ÖNK kiadás'!K10+'5.1 sz. m Köz Hiv'!J34+'5.2 sz. m ÁMK'!J33+'üres lap'!J30</f>
        <v>5450</v>
      </c>
      <c r="L9" s="836">
        <f t="shared" si="2"/>
        <v>0.7159747766684182</v>
      </c>
      <c r="M9" s="374">
        <f t="shared" si="3"/>
        <v>3815</v>
      </c>
      <c r="N9" s="304">
        <f t="shared" si="3"/>
        <v>3815</v>
      </c>
      <c r="O9" s="304">
        <f t="shared" si="3"/>
        <v>3815</v>
      </c>
      <c r="P9" s="304">
        <f t="shared" si="3"/>
        <v>4095</v>
      </c>
      <c r="Q9" s="304"/>
      <c r="R9" s="304">
        <f t="shared" si="4"/>
        <v>5786</v>
      </c>
      <c r="S9" s="304">
        <f t="shared" si="4"/>
        <v>4857</v>
      </c>
      <c r="T9" s="304">
        <f t="shared" si="4"/>
        <v>3878</v>
      </c>
      <c r="U9" s="836">
        <f t="shared" si="5"/>
        <v>0.7984352480955322</v>
      </c>
      <c r="V9" s="374">
        <f>'4.sz.m.ÖNK kiadás'!U10</f>
        <v>2265</v>
      </c>
      <c r="W9" s="304">
        <f>'4.sz.m.ÖNK kiadás'!V10</f>
        <v>2265</v>
      </c>
      <c r="X9" s="304">
        <f>'4.sz.m.ÖNK kiadás'!W10</f>
        <v>2755</v>
      </c>
      <c r="Y9" s="304">
        <f>'4.sz.m.ÖNK kiadás'!X10</f>
        <v>2755</v>
      </c>
      <c r="Z9" s="304">
        <f>'4.sz.m.ÖNK kiadás'!Y10</f>
        <v>2755</v>
      </c>
      <c r="AA9" s="304">
        <f>'4.sz.m.ÖNK kiadás'!Z10</f>
        <v>2755</v>
      </c>
      <c r="AB9" s="304">
        <f>'4.sz.m.ÖNK kiadás'!AA10</f>
        <v>1572</v>
      </c>
      <c r="AC9" s="836">
        <f t="shared" si="6"/>
        <v>0.5705989110707804</v>
      </c>
      <c r="AD9" s="374"/>
      <c r="AE9" s="304"/>
      <c r="AF9" s="304"/>
      <c r="AG9" s="304"/>
      <c r="AH9" s="304"/>
      <c r="AI9" s="304"/>
      <c r="AJ9" s="304"/>
      <c r="AK9" s="836"/>
    </row>
    <row r="10" spans="1:37" s="5" customFormat="1" ht="33" customHeight="1">
      <c r="A10" s="97"/>
      <c r="B10" s="106" t="s">
        <v>53</v>
      </c>
      <c r="C10" s="106"/>
      <c r="D10" s="365" t="s">
        <v>89</v>
      </c>
      <c r="E10" s="374">
        <f aca="true" t="shared" si="7" ref="E10:J10">SUM(E11:E15)</f>
        <v>126095</v>
      </c>
      <c r="F10" s="304">
        <f t="shared" si="7"/>
        <v>131100</v>
      </c>
      <c r="G10" s="304">
        <f t="shared" si="7"/>
        <v>139967</v>
      </c>
      <c r="H10" s="304">
        <f t="shared" si="7"/>
        <v>140208</v>
      </c>
      <c r="I10" s="304">
        <f t="shared" si="7"/>
        <v>144207</v>
      </c>
      <c r="J10" s="304">
        <f t="shared" si="7"/>
        <v>150885</v>
      </c>
      <c r="K10" s="304">
        <f>SUM(K11:K15)</f>
        <v>147882</v>
      </c>
      <c r="L10" s="836">
        <f t="shared" si="2"/>
        <v>0.9800974251913709</v>
      </c>
      <c r="M10" s="374">
        <f t="shared" si="3"/>
        <v>110460</v>
      </c>
      <c r="N10" s="304">
        <f t="shared" si="3"/>
        <v>115465</v>
      </c>
      <c r="O10" s="304">
        <f t="shared" si="3"/>
        <v>124752</v>
      </c>
      <c r="P10" s="304">
        <f t="shared" si="3"/>
        <v>124993</v>
      </c>
      <c r="Q10" s="304"/>
      <c r="R10" s="304">
        <f t="shared" si="4"/>
        <v>128992</v>
      </c>
      <c r="S10" s="304">
        <f t="shared" si="4"/>
        <v>136404</v>
      </c>
      <c r="T10" s="304">
        <f t="shared" si="4"/>
        <v>136223</v>
      </c>
      <c r="U10" s="836">
        <f t="shared" si="5"/>
        <v>0.9986730594410721</v>
      </c>
      <c r="V10" s="374">
        <f>'4.sz.m.ÖNK kiadás'!U11</f>
        <v>15635</v>
      </c>
      <c r="W10" s="304">
        <f>'4.sz.m.ÖNK kiadás'!V11</f>
        <v>15635</v>
      </c>
      <c r="X10" s="304">
        <f>'4.sz.m.ÖNK kiadás'!W11</f>
        <v>15215</v>
      </c>
      <c r="Y10" s="304">
        <f>'4.sz.m.ÖNK kiadás'!X11</f>
        <v>15215</v>
      </c>
      <c r="Z10" s="304">
        <f>'4.sz.m.ÖNK kiadás'!Y11</f>
        <v>15215</v>
      </c>
      <c r="AA10" s="304">
        <f>'4.sz.m.ÖNK kiadás'!Z11</f>
        <v>14481</v>
      </c>
      <c r="AB10" s="304">
        <f>'4.sz.m.ÖNK kiadás'!AA11</f>
        <v>11659</v>
      </c>
      <c r="AC10" s="836">
        <f t="shared" si="6"/>
        <v>0.8051239555279331</v>
      </c>
      <c r="AD10" s="374"/>
      <c r="AE10" s="304"/>
      <c r="AF10" s="304"/>
      <c r="AG10" s="304"/>
      <c r="AH10" s="304"/>
      <c r="AI10" s="304"/>
      <c r="AJ10" s="304"/>
      <c r="AK10" s="836"/>
    </row>
    <row r="11" spans="1:37" s="5" customFormat="1" ht="33" customHeight="1">
      <c r="A11" s="97"/>
      <c r="B11" s="129"/>
      <c r="C11" s="106" t="s">
        <v>88</v>
      </c>
      <c r="D11" s="366" t="s">
        <v>304</v>
      </c>
      <c r="E11" s="374">
        <f>'4.sz.m.ÖNK kiadás'!E12</f>
        <v>0</v>
      </c>
      <c r="F11" s="304">
        <f>'4.sz.m.ÖNK kiadás'!F12</f>
        <v>0</v>
      </c>
      <c r="G11" s="304">
        <f>'4.sz.m.ÖNK kiadás'!G12</f>
        <v>9287</v>
      </c>
      <c r="H11" s="304">
        <f>'4.sz.m.ÖNK kiadás'!H12+'5.1 sz. m Köz Hiv'!G35+'5.2 sz. m ÁMK'!G34</f>
        <v>9528</v>
      </c>
      <c r="I11" s="304">
        <f>'4.sz.m.ÖNK kiadás'!I12+'5.1 sz. m Köz Hiv'!H35+'5.2 sz. m ÁMK'!H34</f>
        <v>9528</v>
      </c>
      <c r="J11" s="304">
        <f>'4.sz.m.ÖNK kiadás'!J12+'5.1 sz. m Köz Hiv'!I35+'5.2 sz. m ÁMK'!I34-415</f>
        <v>9911</v>
      </c>
      <c r="K11" s="304">
        <f>'4.sz.m.ÖNK kiadás'!K12+'5.1 sz. m Köz Hiv'!J35+'5.2 sz. m ÁMK'!J34-415</f>
        <v>9730</v>
      </c>
      <c r="L11" s="836">
        <f t="shared" si="2"/>
        <v>0.9817374634244779</v>
      </c>
      <c r="M11" s="374">
        <f t="shared" si="3"/>
        <v>0</v>
      </c>
      <c r="N11" s="304">
        <f t="shared" si="3"/>
        <v>0</v>
      </c>
      <c r="O11" s="304">
        <f t="shared" si="3"/>
        <v>9287</v>
      </c>
      <c r="P11" s="304">
        <f t="shared" si="3"/>
        <v>9528</v>
      </c>
      <c r="Q11" s="304"/>
      <c r="R11" s="304">
        <f t="shared" si="4"/>
        <v>9528</v>
      </c>
      <c r="S11" s="304">
        <f t="shared" si="4"/>
        <v>9911</v>
      </c>
      <c r="T11" s="304">
        <f t="shared" si="4"/>
        <v>9730</v>
      </c>
      <c r="U11" s="836">
        <f t="shared" si="5"/>
        <v>0.9817374634244779</v>
      </c>
      <c r="V11" s="374">
        <f>'4.sz.m.ÖNK kiadás'!U12</f>
        <v>0</v>
      </c>
      <c r="W11" s="304">
        <f>'4.sz.m.ÖNK kiadás'!V12</f>
        <v>0</v>
      </c>
      <c r="X11" s="304">
        <f>'4.sz.m.ÖNK kiadás'!W12</f>
        <v>0</v>
      </c>
      <c r="Y11" s="304">
        <f>'4.sz.m.ÖNK kiadás'!X12</f>
        <v>0</v>
      </c>
      <c r="Z11" s="304">
        <f>'4.sz.m.ÖNK kiadás'!Y12</f>
        <v>0</v>
      </c>
      <c r="AA11" s="304">
        <f>'4.sz.m.ÖNK kiadás'!Z12</f>
        <v>0</v>
      </c>
      <c r="AB11" s="304">
        <f>'4.sz.m.ÖNK kiadás'!AA12</f>
        <v>0</v>
      </c>
      <c r="AC11" s="836"/>
      <c r="AD11" s="374"/>
      <c r="AE11" s="304"/>
      <c r="AF11" s="304"/>
      <c r="AG11" s="304"/>
      <c r="AH11" s="304"/>
      <c r="AI11" s="304"/>
      <c r="AJ11" s="304"/>
      <c r="AK11" s="836"/>
    </row>
    <row r="12" spans="1:37" s="5" customFormat="1" ht="57.75" customHeight="1">
      <c r="A12" s="97"/>
      <c r="B12" s="106"/>
      <c r="C12" s="106" t="s">
        <v>90</v>
      </c>
      <c r="D12" s="364" t="s">
        <v>305</v>
      </c>
      <c r="E12" s="374">
        <f>'4.sz.m.ÖNK kiadás'!E13</f>
        <v>14376</v>
      </c>
      <c r="F12" s="304">
        <f>'4.sz.m.ÖNK kiadás'!F13</f>
        <v>14376</v>
      </c>
      <c r="G12" s="304">
        <f>'4.sz.m.ÖNK kiadás'!G13</f>
        <v>13956</v>
      </c>
      <c r="H12" s="304">
        <f>'4.sz.m.ÖNK kiadás'!H13</f>
        <v>13956</v>
      </c>
      <c r="I12" s="304">
        <f>'4.sz.m.ÖNK kiadás'!I13</f>
        <v>13956</v>
      </c>
      <c r="J12" s="304">
        <f>'4.sz.m.ÖNK kiadás'!J13</f>
        <v>13976</v>
      </c>
      <c r="K12" s="304">
        <f>'4.sz.m.ÖNK kiadás'!K13</f>
        <v>11154</v>
      </c>
      <c r="L12" s="836">
        <f t="shared" si="2"/>
        <v>0.7980824270177447</v>
      </c>
      <c r="M12" s="374">
        <f t="shared" si="3"/>
        <v>0</v>
      </c>
      <c r="N12" s="304">
        <f t="shared" si="3"/>
        <v>0</v>
      </c>
      <c r="O12" s="304">
        <f t="shared" si="3"/>
        <v>0</v>
      </c>
      <c r="P12" s="304">
        <f t="shared" si="3"/>
        <v>0</v>
      </c>
      <c r="Q12" s="304"/>
      <c r="R12" s="304">
        <f t="shared" si="4"/>
        <v>0</v>
      </c>
      <c r="S12" s="304">
        <f t="shared" si="4"/>
        <v>0</v>
      </c>
      <c r="T12" s="304">
        <f t="shared" si="4"/>
        <v>0</v>
      </c>
      <c r="U12" s="836">
        <v>0</v>
      </c>
      <c r="V12" s="374">
        <f>'4.sz.m.ÖNK kiadás'!U13</f>
        <v>14376</v>
      </c>
      <c r="W12" s="304">
        <f>'4.sz.m.ÖNK kiadás'!V13</f>
        <v>14376</v>
      </c>
      <c r="X12" s="304">
        <f>'4.sz.m.ÖNK kiadás'!W13</f>
        <v>13956</v>
      </c>
      <c r="Y12" s="304">
        <f>'4.sz.m.ÖNK kiadás'!X13</f>
        <v>13956</v>
      </c>
      <c r="Z12" s="304">
        <f>'4.sz.m.ÖNK kiadás'!Y13</f>
        <v>13956</v>
      </c>
      <c r="AA12" s="304">
        <f>'4.sz.m.ÖNK kiadás'!Z13</f>
        <v>13976</v>
      </c>
      <c r="AB12" s="304">
        <f>'4.sz.m.ÖNK kiadás'!AA13</f>
        <v>11154</v>
      </c>
      <c r="AC12" s="836">
        <f t="shared" si="6"/>
        <v>0.7980824270177447</v>
      </c>
      <c r="AD12" s="374"/>
      <c r="AE12" s="304"/>
      <c r="AF12" s="304"/>
      <c r="AG12" s="304"/>
      <c r="AH12" s="304"/>
      <c r="AI12" s="304"/>
      <c r="AJ12" s="304"/>
      <c r="AK12" s="836"/>
    </row>
    <row r="13" spans="1:37" s="5" customFormat="1" ht="54.75" customHeight="1" thickBot="1">
      <c r="A13" s="125"/>
      <c r="B13" s="126"/>
      <c r="C13" s="106" t="s">
        <v>91</v>
      </c>
      <c r="D13" s="364" t="s">
        <v>306</v>
      </c>
      <c r="E13" s="374">
        <f>'4.sz.m.ÖNK kiadás'!E14</f>
        <v>111719</v>
      </c>
      <c r="F13" s="304">
        <f>'4.sz.m.ÖNK kiadás'!F14</f>
        <v>116724</v>
      </c>
      <c r="G13" s="304">
        <f>'4.sz.m.ÖNK kiadás'!G14</f>
        <v>116724</v>
      </c>
      <c r="H13" s="304">
        <f>'4.sz.m.ÖNK kiadás'!H14</f>
        <v>116724</v>
      </c>
      <c r="I13" s="304">
        <f>'4.sz.m.ÖNK kiadás'!I14</f>
        <v>120723</v>
      </c>
      <c r="J13" s="304">
        <f>'4.sz.m.ÖNK kiadás'!J14+415</f>
        <v>126998</v>
      </c>
      <c r="K13" s="304">
        <f>'4.sz.m.ÖNK kiadás'!K14+415</f>
        <v>126998</v>
      </c>
      <c r="L13" s="836">
        <f t="shared" si="2"/>
        <v>1</v>
      </c>
      <c r="M13" s="374">
        <f t="shared" si="3"/>
        <v>110460</v>
      </c>
      <c r="N13" s="304">
        <f t="shared" si="3"/>
        <v>115465</v>
      </c>
      <c r="O13" s="304">
        <f t="shared" si="3"/>
        <v>115465</v>
      </c>
      <c r="P13" s="304">
        <f t="shared" si="3"/>
        <v>115465</v>
      </c>
      <c r="Q13" s="304"/>
      <c r="R13" s="304">
        <f t="shared" si="4"/>
        <v>119464</v>
      </c>
      <c r="S13" s="304">
        <f t="shared" si="4"/>
        <v>126493</v>
      </c>
      <c r="T13" s="304">
        <f t="shared" si="4"/>
        <v>126493</v>
      </c>
      <c r="U13" s="836">
        <f t="shared" si="5"/>
        <v>1</v>
      </c>
      <c r="V13" s="374">
        <f>'4.sz.m.ÖNK kiadás'!U14</f>
        <v>1259</v>
      </c>
      <c r="W13" s="304">
        <f>'4.sz.m.ÖNK kiadás'!V14</f>
        <v>1259</v>
      </c>
      <c r="X13" s="304">
        <f>'4.sz.m.ÖNK kiadás'!W14</f>
        <v>1259</v>
      </c>
      <c r="Y13" s="304">
        <f>'4.sz.m.ÖNK kiadás'!X14</f>
        <v>1259</v>
      </c>
      <c r="Z13" s="304">
        <f>'4.sz.m.ÖNK kiadás'!Y14</f>
        <v>1259</v>
      </c>
      <c r="AA13" s="304">
        <f>'4.sz.m.ÖNK kiadás'!Z14</f>
        <v>505</v>
      </c>
      <c r="AB13" s="304">
        <f>'4.sz.m.ÖNK kiadás'!AA14</f>
        <v>505</v>
      </c>
      <c r="AC13" s="836">
        <f t="shared" si="6"/>
        <v>1</v>
      </c>
      <c r="AD13" s="374"/>
      <c r="AE13" s="304"/>
      <c r="AF13" s="304"/>
      <c r="AG13" s="304"/>
      <c r="AH13" s="304"/>
      <c r="AI13" s="304"/>
      <c r="AJ13" s="304"/>
      <c r="AK13" s="836"/>
    </row>
    <row r="14" spans="1:37" s="5" customFormat="1" ht="33" customHeight="1" hidden="1">
      <c r="A14" s="97"/>
      <c r="B14" s="106"/>
      <c r="C14" s="106" t="s">
        <v>94</v>
      </c>
      <c r="D14" s="364" t="s">
        <v>96</v>
      </c>
      <c r="E14" s="374"/>
      <c r="F14" s="304"/>
      <c r="G14" s="304"/>
      <c r="H14" s="304"/>
      <c r="I14" s="304"/>
      <c r="J14" s="304"/>
      <c r="K14" s="304"/>
      <c r="L14" s="836" t="e">
        <f t="shared" si="2"/>
        <v>#DIV/0!</v>
      </c>
      <c r="M14" s="374"/>
      <c r="N14" s="304"/>
      <c r="O14" s="304"/>
      <c r="P14" s="304"/>
      <c r="Q14" s="304"/>
      <c r="R14" s="304"/>
      <c r="S14" s="304"/>
      <c r="T14" s="304"/>
      <c r="U14" s="836" t="e">
        <f t="shared" si="5"/>
        <v>#DIV/0!</v>
      </c>
      <c r="V14" s="374">
        <f>'4.sz.m.ÖNK kiadás'!U15</f>
        <v>0</v>
      </c>
      <c r="W14" s="304">
        <f>'4.sz.m.ÖNK kiadás'!V15</f>
        <v>0</v>
      </c>
      <c r="X14" s="304">
        <f>'4.sz.m.ÖNK kiadás'!W15</f>
        <v>0</v>
      </c>
      <c r="Y14" s="304">
        <f>'4.sz.m.ÖNK kiadás'!X15</f>
        <v>0</v>
      </c>
      <c r="Z14" s="304">
        <f>'4.sz.m.ÖNK kiadás'!Y15</f>
        <v>0</v>
      </c>
      <c r="AA14" s="304">
        <f>'4.sz.m.ÖNK kiadás'!Z15</f>
        <v>0</v>
      </c>
      <c r="AB14" s="304">
        <f>'4.sz.m.ÖNK kiadás'!AA15</f>
        <v>0</v>
      </c>
      <c r="AC14" s="836" t="e">
        <f t="shared" si="6"/>
        <v>#DIV/0!</v>
      </c>
      <c r="AD14" s="374"/>
      <c r="AE14" s="304"/>
      <c r="AF14" s="304"/>
      <c r="AG14" s="304"/>
      <c r="AH14" s="304"/>
      <c r="AI14" s="304"/>
      <c r="AJ14" s="304"/>
      <c r="AK14" s="836" t="e">
        <f>AJ14/AI14</f>
        <v>#DIV/0!</v>
      </c>
    </row>
    <row r="15" spans="1:37" s="5" customFormat="1" ht="33" customHeight="1" hidden="1" thickBot="1">
      <c r="A15" s="133"/>
      <c r="B15" s="120"/>
      <c r="C15" s="120" t="s">
        <v>95</v>
      </c>
      <c r="D15" s="367" t="s">
        <v>97</v>
      </c>
      <c r="E15" s="374"/>
      <c r="F15" s="304"/>
      <c r="G15" s="304"/>
      <c r="H15" s="304"/>
      <c r="I15" s="304"/>
      <c r="J15" s="304"/>
      <c r="K15" s="304"/>
      <c r="L15" s="836" t="e">
        <f t="shared" si="2"/>
        <v>#DIV/0!</v>
      </c>
      <c r="M15" s="374"/>
      <c r="N15" s="304"/>
      <c r="O15" s="304"/>
      <c r="P15" s="304"/>
      <c r="Q15" s="304"/>
      <c r="R15" s="304"/>
      <c r="S15" s="304"/>
      <c r="T15" s="304"/>
      <c r="U15" s="836" t="e">
        <f t="shared" si="5"/>
        <v>#DIV/0!</v>
      </c>
      <c r="V15" s="374">
        <f>'4.sz.m.ÖNK kiadás'!U16</f>
        <v>0</v>
      </c>
      <c r="W15" s="304">
        <f>'4.sz.m.ÖNK kiadás'!V16</f>
        <v>0</v>
      </c>
      <c r="X15" s="304">
        <f>'4.sz.m.ÖNK kiadás'!W16</f>
        <v>0</v>
      </c>
      <c r="Y15" s="304">
        <f>'4.sz.m.ÖNK kiadás'!X16</f>
        <v>0</v>
      </c>
      <c r="Z15" s="304">
        <f>'4.sz.m.ÖNK kiadás'!Y16</f>
        <v>0</v>
      </c>
      <c r="AA15" s="304">
        <f>'4.sz.m.ÖNK kiadás'!Z16</f>
        <v>0</v>
      </c>
      <c r="AB15" s="304">
        <f>'4.sz.m.ÖNK kiadás'!AA16</f>
        <v>0</v>
      </c>
      <c r="AC15" s="836" t="e">
        <f t="shared" si="6"/>
        <v>#DIV/0!</v>
      </c>
      <c r="AD15" s="374"/>
      <c r="AE15" s="304"/>
      <c r="AF15" s="304"/>
      <c r="AG15" s="304"/>
      <c r="AH15" s="304"/>
      <c r="AI15" s="304"/>
      <c r="AJ15" s="304"/>
      <c r="AK15" s="836" t="e">
        <f>AJ15/AI15</f>
        <v>#DIV/0!</v>
      </c>
    </row>
    <row r="16" spans="1:37" s="5" customFormat="1" ht="33" customHeight="1" thickBot="1">
      <c r="A16" s="115" t="s">
        <v>31</v>
      </c>
      <c r="B16" s="1135" t="s">
        <v>98</v>
      </c>
      <c r="C16" s="1135"/>
      <c r="D16" s="1135"/>
      <c r="E16" s="375">
        <f aca="true" t="shared" si="8" ref="E16:K16">SUM(E17:E19)</f>
        <v>78306</v>
      </c>
      <c r="F16" s="79">
        <f t="shared" si="8"/>
        <v>78306</v>
      </c>
      <c r="G16" s="79">
        <f t="shared" si="8"/>
        <v>78319</v>
      </c>
      <c r="H16" s="79">
        <f t="shared" si="8"/>
        <v>78319</v>
      </c>
      <c r="I16" s="79">
        <f t="shared" si="8"/>
        <v>78321</v>
      </c>
      <c r="J16" s="79">
        <f t="shared" si="8"/>
        <v>78784</v>
      </c>
      <c r="K16" s="79">
        <f t="shared" si="8"/>
        <v>71900</v>
      </c>
      <c r="L16" s="835">
        <f t="shared" si="2"/>
        <v>0.9126218521527214</v>
      </c>
      <c r="M16" s="375">
        <f>SUM(M17:M19)</f>
        <v>76506</v>
      </c>
      <c r="N16" s="79">
        <f>SUM(N17:N19)</f>
        <v>76506</v>
      </c>
      <c r="O16" s="79">
        <f>SUM(O17:O19)</f>
        <v>75756</v>
      </c>
      <c r="P16" s="79">
        <f>SUM(P17:P19)</f>
        <v>75756</v>
      </c>
      <c r="Q16" s="79"/>
      <c r="R16" s="79">
        <f>SUM(R17:R19)</f>
        <v>75758</v>
      </c>
      <c r="S16" s="79">
        <f>SUM(S17:S19)</f>
        <v>76171</v>
      </c>
      <c r="T16" s="79">
        <f>SUM(T17:T19)</f>
        <v>69289</v>
      </c>
      <c r="U16" s="835">
        <f t="shared" si="5"/>
        <v>0.9096506544485434</v>
      </c>
      <c r="V16" s="375">
        <f>SUM(V17:V19)</f>
        <v>1800</v>
      </c>
      <c r="W16" s="79">
        <f>SUM(W17:W19)</f>
        <v>1800</v>
      </c>
      <c r="X16" s="79">
        <f aca="true" t="shared" si="9" ref="X16:AF16">SUM(X17:X19)</f>
        <v>2563</v>
      </c>
      <c r="Y16" s="79">
        <f>SUM(Y17:Y19)</f>
        <v>2563</v>
      </c>
      <c r="Z16" s="79">
        <f>SUM(Z17:Z19)</f>
        <v>2563</v>
      </c>
      <c r="AA16" s="79">
        <f>SUM(AA17:AA19)</f>
        <v>2613</v>
      </c>
      <c r="AB16" s="79">
        <f>SUM(AB17:AB19)</f>
        <v>2611</v>
      </c>
      <c r="AC16" s="835">
        <f t="shared" si="6"/>
        <v>0.9992345962495216</v>
      </c>
      <c r="AD16" s="375">
        <f t="shared" si="9"/>
        <v>0</v>
      </c>
      <c r="AE16" s="79">
        <f t="shared" si="9"/>
        <v>0</v>
      </c>
      <c r="AF16" s="79">
        <f t="shared" si="9"/>
        <v>0</v>
      </c>
      <c r="AG16" s="79">
        <f>SUM(AG17:AG19)</f>
        <v>0</v>
      </c>
      <c r="AH16" s="79">
        <f>SUM(AH17:AH19)</f>
        <v>0</v>
      </c>
      <c r="AI16" s="79">
        <f>SUM(AI17:AI19)</f>
        <v>0</v>
      </c>
      <c r="AJ16" s="79">
        <f>SUM(AJ17:AJ19)</f>
        <v>0</v>
      </c>
      <c r="AK16" s="835"/>
    </row>
    <row r="17" spans="1:37" s="5" customFormat="1" ht="33" customHeight="1">
      <c r="A17" s="114"/>
      <c r="B17" s="119" t="s">
        <v>42</v>
      </c>
      <c r="C17" s="1141" t="s">
        <v>99</v>
      </c>
      <c r="D17" s="1141"/>
      <c r="E17" s="374">
        <f>'4.sz.m.ÖNK kiadás'!E18+'5.1 sz. m Köz Hiv'!D37+'5.2 sz. m ÁMK'!D36+'üres lap'!D33</f>
        <v>8476</v>
      </c>
      <c r="F17" s="304">
        <f>'4.sz.m.ÖNK kiadás'!F18+'5.1 sz. m Köz Hiv'!E37+'5.2 sz. m ÁMK'!E36+'üres lap'!E33</f>
        <v>8476</v>
      </c>
      <c r="G17" s="304">
        <f>'4.sz.m.ÖNK kiadás'!G18+'5.1 sz. m Köz Hiv'!F37+'5.2 sz. m ÁMK'!F36+'üres lap'!F33</f>
        <v>9225</v>
      </c>
      <c r="H17" s="304">
        <f>'4.sz.m.ÖNK kiadás'!H18+'5.1 sz. m Köz Hiv'!G37+'5.2 sz. m ÁMK'!G36+'üres lap'!G33</f>
        <v>9376</v>
      </c>
      <c r="I17" s="304">
        <f>'4.sz.m.ÖNK kiadás'!I18+'5.1 sz. m Köz Hiv'!H37+'5.2 sz. m ÁMK'!H36+'üres lap'!H33</f>
        <v>9376</v>
      </c>
      <c r="J17" s="304">
        <f>'4.sz.m.ÖNK kiadás'!J18+'5.1 sz. m Köz Hiv'!I37+'5.2 sz. m ÁMK'!I36+'üres lap'!I33</f>
        <v>9789</v>
      </c>
      <c r="K17" s="304">
        <f>'4.sz.m.ÖNK kiadás'!K18+'5.1 sz. m Köz Hiv'!J37+'5.2 sz. m ÁMK'!J36+'üres lap'!J33</f>
        <v>3786</v>
      </c>
      <c r="L17" s="836">
        <f t="shared" si="2"/>
        <v>0.3867606497088569</v>
      </c>
      <c r="M17" s="374">
        <f>'4.sz.m.ÖNK kiadás'!M18+'5.1 sz. m Köz Hiv'!L37+'5.2 sz. m ÁMK'!L36</f>
        <v>8476</v>
      </c>
      <c r="N17" s="304">
        <f>'4.sz.m.ÖNK kiadás'!N18+'5.1 sz. m Köz Hiv'!M37+'5.2 sz. m ÁMK'!M36</f>
        <v>8476</v>
      </c>
      <c r="O17" s="304">
        <f>'4.sz.m.ÖNK kiadás'!O18+'5.1 sz. m Köz Hiv'!N37+'5.2 sz. m ÁMK'!N36+'üres lap'!L33</f>
        <v>9225</v>
      </c>
      <c r="P17" s="304">
        <f>'4.sz.m.ÖNK kiadás'!P18+'5.1 sz. m Köz Hiv'!O37+'5.2 sz. m ÁMK'!O36+'üres lap'!M33</f>
        <v>9376</v>
      </c>
      <c r="Q17" s="304"/>
      <c r="R17" s="304">
        <f>'4.sz.m.ÖNK kiadás'!Q18+'5.1 sz. m Köz Hiv'!P37+'5.2 sz. m ÁMK'!P36+'üres lap'!N33</f>
        <v>9376</v>
      </c>
      <c r="S17" s="304">
        <f>'4.sz.m.ÖNK kiadás'!R18+'5.1 sz. m Köz Hiv'!Q37+'5.2 sz. m ÁMK'!Q36+'üres lap'!O33</f>
        <v>9789</v>
      </c>
      <c r="T17" s="304">
        <f>'4.sz.m.ÖNK kiadás'!S18+'5.1 sz. m Köz Hiv'!R37+'5.2 sz. m ÁMK'!R36+'üres lap'!P33</f>
        <v>3786</v>
      </c>
      <c r="U17" s="836">
        <f t="shared" si="5"/>
        <v>0.3867606497088569</v>
      </c>
      <c r="V17" s="374">
        <f>'4.sz.m.ÖNK kiadás'!U18</f>
        <v>0</v>
      </c>
      <c r="W17" s="304">
        <f>'4.sz.m.ÖNK kiadás'!V18</f>
        <v>0</v>
      </c>
      <c r="X17" s="304">
        <f>'4.sz.m.ÖNK kiadás'!W18</f>
        <v>0</v>
      </c>
      <c r="Y17" s="304">
        <f>'4.sz.m.ÖNK kiadás'!X18</f>
        <v>0</v>
      </c>
      <c r="Z17" s="304">
        <f>'4.sz.m.ÖNK kiadás'!Y18</f>
        <v>0</v>
      </c>
      <c r="AA17" s="304">
        <f>'4.sz.m.ÖNK kiadás'!Z18</f>
        <v>0</v>
      </c>
      <c r="AB17" s="304">
        <f>'4.sz.m.ÖNK kiadás'!AA18</f>
        <v>0</v>
      </c>
      <c r="AC17" s="836"/>
      <c r="AD17" s="374"/>
      <c r="AE17" s="304"/>
      <c r="AF17" s="304"/>
      <c r="AG17" s="304"/>
      <c r="AH17" s="304"/>
      <c r="AI17" s="304"/>
      <c r="AJ17" s="304"/>
      <c r="AK17" s="836"/>
    </row>
    <row r="18" spans="1:37" s="5" customFormat="1" ht="33" customHeight="1">
      <c r="A18" s="97"/>
      <c r="B18" s="106" t="s">
        <v>43</v>
      </c>
      <c r="C18" s="1150" t="s">
        <v>100</v>
      </c>
      <c r="D18" s="1150"/>
      <c r="E18" s="374">
        <f>'4.sz.m.ÖNK kiadás'!E19</f>
        <v>68030</v>
      </c>
      <c r="F18" s="304">
        <f>'4.sz.m.ÖNK kiadás'!F19+'5.2 sz. m ÁMK'!E38</f>
        <v>68030</v>
      </c>
      <c r="G18" s="304">
        <f>'4.sz.m.ÖNK kiadás'!G19+'5.2 sz. m ÁMK'!F38</f>
        <v>66531</v>
      </c>
      <c r="H18" s="304">
        <f>'4.sz.m.ÖNK kiadás'!H19+'5.2 sz. m ÁMK'!G38</f>
        <v>66380</v>
      </c>
      <c r="I18" s="304">
        <f>'4.sz.m.ÖNK kiadás'!I19+'5.2 sz. m ÁMK'!H38</f>
        <v>66382</v>
      </c>
      <c r="J18" s="304">
        <f>'4.sz.m.ÖNK kiadás'!J19+'5.2 sz. m ÁMK'!I38</f>
        <v>66382</v>
      </c>
      <c r="K18" s="304">
        <f>'4.sz.m.ÖNK kiadás'!K19+'5.2 sz. m ÁMK'!J38</f>
        <v>65503</v>
      </c>
      <c r="L18" s="836">
        <f t="shared" si="2"/>
        <v>0.9867584586183001</v>
      </c>
      <c r="M18" s="374">
        <f>'4.sz.m.ÖNK kiadás'!M19+'5.1 sz. m Köz Hiv'!L38+'5.2 sz. m ÁMK'!L37</f>
        <v>68030</v>
      </c>
      <c r="N18" s="304">
        <f>'4.sz.m.ÖNK kiadás'!N19+'5.1 sz. m Köz Hiv'!M38+'5.2 sz. m ÁMK'!M37</f>
        <v>68030</v>
      </c>
      <c r="O18" s="304">
        <f>'4.sz.m.ÖNK kiadás'!O19+'5.2 sz. m ÁMK'!N38</f>
        <v>66531</v>
      </c>
      <c r="P18" s="304">
        <f>'4.sz.m.ÖNK kiadás'!P19+'5.2 sz. m ÁMK'!O38</f>
        <v>66380</v>
      </c>
      <c r="Q18" s="304"/>
      <c r="R18" s="304">
        <f>'4.sz.m.ÖNK kiadás'!Q19+'5.2 sz. m ÁMK'!P38</f>
        <v>66382</v>
      </c>
      <c r="S18" s="304">
        <f>'4.sz.m.ÖNK kiadás'!R19+'5.2 sz. m ÁMK'!Q38</f>
        <v>66382</v>
      </c>
      <c r="T18" s="304">
        <f>'4.sz.m.ÖNK kiadás'!S19+'5.2 sz. m ÁMK'!R38</f>
        <v>65503</v>
      </c>
      <c r="U18" s="836">
        <f t="shared" si="5"/>
        <v>0.9867584586183001</v>
      </c>
      <c r="V18" s="374">
        <f>'4.sz.m.ÖNK kiadás'!U19</f>
        <v>0</v>
      </c>
      <c r="W18" s="304">
        <f>'4.sz.m.ÖNK kiadás'!V19</f>
        <v>0</v>
      </c>
      <c r="X18" s="304">
        <f>'4.sz.m.ÖNK kiadás'!W19</f>
        <v>0</v>
      </c>
      <c r="Y18" s="304">
        <f>'4.sz.m.ÖNK kiadás'!X19</f>
        <v>0</v>
      </c>
      <c r="Z18" s="304">
        <f>'4.sz.m.ÖNK kiadás'!Y19</f>
        <v>0</v>
      </c>
      <c r="AA18" s="304">
        <f>'4.sz.m.ÖNK kiadás'!Z19</f>
        <v>0</v>
      </c>
      <c r="AB18" s="304">
        <f>'4.sz.m.ÖNK kiadás'!AA19</f>
        <v>0</v>
      </c>
      <c r="AC18" s="836"/>
      <c r="AD18" s="374"/>
      <c r="AE18" s="304"/>
      <c r="AF18" s="304"/>
      <c r="AG18" s="304"/>
      <c r="AH18" s="304"/>
      <c r="AI18" s="304"/>
      <c r="AJ18" s="304"/>
      <c r="AK18" s="836"/>
    </row>
    <row r="19" spans="1:37" s="5" customFormat="1" ht="33" customHeight="1">
      <c r="A19" s="127"/>
      <c r="B19" s="106" t="s">
        <v>44</v>
      </c>
      <c r="C19" s="1160" t="s">
        <v>101</v>
      </c>
      <c r="D19" s="1160"/>
      <c r="E19" s="374">
        <f>'4.sz.m.ÖNK kiadás'!E20</f>
        <v>1800</v>
      </c>
      <c r="F19" s="304">
        <f>'4.sz.m.ÖNK kiadás'!F20</f>
        <v>1800</v>
      </c>
      <c r="G19" s="304">
        <f>'4.sz.m.ÖNK kiadás'!G20</f>
        <v>2563</v>
      </c>
      <c r="H19" s="304">
        <f>'4.sz.m.ÖNK kiadás'!H20</f>
        <v>2563</v>
      </c>
      <c r="I19" s="304">
        <f>'4.sz.m.ÖNK kiadás'!I20</f>
        <v>2563</v>
      </c>
      <c r="J19" s="304">
        <f>'4.sz.m.ÖNK kiadás'!J20</f>
        <v>2613</v>
      </c>
      <c r="K19" s="304">
        <f>'4.sz.m.ÖNK kiadás'!K20</f>
        <v>2611</v>
      </c>
      <c r="L19" s="836">
        <f t="shared" si="2"/>
        <v>0.9992345962495216</v>
      </c>
      <c r="M19" s="374">
        <f>'4.sz.m.ÖNK kiadás'!M20</f>
        <v>0</v>
      </c>
      <c r="N19" s="304">
        <f>'4.sz.m.ÖNK kiadás'!N20</f>
        <v>0</v>
      </c>
      <c r="O19" s="304">
        <f>'4.sz.m.ÖNK kiadás'!O20</f>
        <v>0</v>
      </c>
      <c r="P19" s="304">
        <f>'4.sz.m.ÖNK kiadás'!P20</f>
        <v>0</v>
      </c>
      <c r="Q19" s="304"/>
      <c r="R19" s="304">
        <f>'4.sz.m.ÖNK kiadás'!Q20</f>
        <v>0</v>
      </c>
      <c r="S19" s="304">
        <f>'4.sz.m.ÖNK kiadás'!R20</f>
        <v>0</v>
      </c>
      <c r="T19" s="304">
        <f>'4.sz.m.ÖNK kiadás'!S20</f>
        <v>0</v>
      </c>
      <c r="U19" s="836"/>
      <c r="V19" s="374">
        <f>'4.sz.m.ÖNK kiadás'!U20</f>
        <v>1800</v>
      </c>
      <c r="W19" s="304">
        <f>'4.sz.m.ÖNK kiadás'!V20</f>
        <v>1800</v>
      </c>
      <c r="X19" s="304">
        <f>'4.sz.m.ÖNK kiadás'!W20</f>
        <v>2563</v>
      </c>
      <c r="Y19" s="304">
        <f>'4.sz.m.ÖNK kiadás'!X20</f>
        <v>2563</v>
      </c>
      <c r="Z19" s="304">
        <f>'4.sz.m.ÖNK kiadás'!Y20</f>
        <v>2563</v>
      </c>
      <c r="AA19" s="304">
        <f>'4.sz.m.ÖNK kiadás'!Z20</f>
        <v>2613</v>
      </c>
      <c r="AB19" s="304">
        <f>'4.sz.m.ÖNK kiadás'!AA20</f>
        <v>2611</v>
      </c>
      <c r="AC19" s="836">
        <f t="shared" si="6"/>
        <v>0.9992345962495216</v>
      </c>
      <c r="AD19" s="374"/>
      <c r="AE19" s="304"/>
      <c r="AF19" s="304"/>
      <c r="AG19" s="304"/>
      <c r="AH19" s="304"/>
      <c r="AI19" s="304"/>
      <c r="AJ19" s="304"/>
      <c r="AK19" s="836"/>
    </row>
    <row r="20" spans="1:37" s="5" customFormat="1" ht="33" customHeight="1">
      <c r="A20" s="103"/>
      <c r="B20" s="107"/>
      <c r="C20" s="107" t="s">
        <v>102</v>
      </c>
      <c r="D20" s="259" t="s">
        <v>92</v>
      </c>
      <c r="E20" s="374">
        <f>'4.sz.m.ÖNK kiadás'!E21</f>
        <v>1800</v>
      </c>
      <c r="F20" s="304">
        <f>'4.sz.m.ÖNK kiadás'!F21</f>
        <v>1800</v>
      </c>
      <c r="G20" s="304">
        <f>'4.sz.m.ÖNK kiadás'!G21</f>
        <v>2563</v>
      </c>
      <c r="H20" s="304">
        <f>'4.sz.m.ÖNK kiadás'!H21</f>
        <v>2563</v>
      </c>
      <c r="I20" s="304">
        <f>'4.sz.m.ÖNK kiadás'!I21</f>
        <v>2563</v>
      </c>
      <c r="J20" s="304">
        <f>'4.sz.m.ÖNK kiadás'!J21</f>
        <v>2613</v>
      </c>
      <c r="K20" s="304">
        <f>'4.sz.m.ÖNK kiadás'!K21</f>
        <v>2611</v>
      </c>
      <c r="L20" s="836">
        <f t="shared" si="2"/>
        <v>0.9992345962495216</v>
      </c>
      <c r="M20" s="374">
        <f>'4.sz.m.ÖNK kiadás'!M21</f>
        <v>0</v>
      </c>
      <c r="N20" s="304">
        <f>'4.sz.m.ÖNK kiadás'!N21</f>
        <v>0</v>
      </c>
      <c r="O20" s="304">
        <f>'4.sz.m.ÖNK kiadás'!O21</f>
        <v>0</v>
      </c>
      <c r="P20" s="304">
        <f>'4.sz.m.ÖNK kiadás'!P21</f>
        <v>0</v>
      </c>
      <c r="Q20" s="304"/>
      <c r="R20" s="304">
        <f>'4.sz.m.ÖNK kiadás'!Q21</f>
        <v>0</v>
      </c>
      <c r="S20" s="304">
        <f>'4.sz.m.ÖNK kiadás'!R21</f>
        <v>0</v>
      </c>
      <c r="T20" s="304">
        <f>'4.sz.m.ÖNK kiadás'!S21</f>
        <v>0</v>
      </c>
      <c r="U20" s="836"/>
      <c r="V20" s="374">
        <f>'4.sz.m.ÖNK kiadás'!U21</f>
        <v>1800</v>
      </c>
      <c r="W20" s="304">
        <f>'4.sz.m.ÖNK kiadás'!V21</f>
        <v>1800</v>
      </c>
      <c r="X20" s="304">
        <f>'4.sz.m.ÖNK kiadás'!W21</f>
        <v>2563</v>
      </c>
      <c r="Y20" s="304">
        <f>'4.sz.m.ÖNK kiadás'!X21</f>
        <v>2563</v>
      </c>
      <c r="Z20" s="304">
        <f>'4.sz.m.ÖNK kiadás'!Y21</f>
        <v>2563</v>
      </c>
      <c r="AA20" s="304">
        <f>'4.sz.m.ÖNK kiadás'!Z21</f>
        <v>2613</v>
      </c>
      <c r="AB20" s="304">
        <f>'4.sz.m.ÖNK kiadás'!AA21</f>
        <v>2611</v>
      </c>
      <c r="AC20" s="836">
        <f t="shared" si="6"/>
        <v>0.9992345962495216</v>
      </c>
      <c r="AD20" s="374"/>
      <c r="AE20" s="304"/>
      <c r="AF20" s="304"/>
      <c r="AG20" s="304"/>
      <c r="AH20" s="304"/>
      <c r="AI20" s="304"/>
      <c r="AJ20" s="304"/>
      <c r="AK20" s="836"/>
    </row>
    <row r="21" spans="1:37" s="5" customFormat="1" ht="33" customHeight="1">
      <c r="A21" s="103"/>
      <c r="B21" s="107"/>
      <c r="C21" s="107" t="s">
        <v>103</v>
      </c>
      <c r="D21" s="259" t="s">
        <v>93</v>
      </c>
      <c r="E21" s="374">
        <f>'4.sz.m.ÖNK kiadás'!E22</f>
        <v>0</v>
      </c>
      <c r="F21" s="304">
        <f>'4.sz.m.ÖNK kiadás'!F22</f>
        <v>0</v>
      </c>
      <c r="G21" s="304">
        <f>'4.sz.m.ÖNK kiadás'!G22</f>
        <v>0</v>
      </c>
      <c r="H21" s="304">
        <f>'4.sz.m.ÖNK kiadás'!H22</f>
        <v>0</v>
      </c>
      <c r="I21" s="304">
        <f>'4.sz.m.ÖNK kiadás'!I22</f>
        <v>0</v>
      </c>
      <c r="J21" s="304">
        <f>'4.sz.m.ÖNK kiadás'!J22</f>
        <v>0</v>
      </c>
      <c r="K21" s="304">
        <f>'4.sz.m.ÖNK kiadás'!K22</f>
        <v>0</v>
      </c>
      <c r="L21" s="836"/>
      <c r="M21" s="374">
        <f>'4.sz.m.ÖNK kiadás'!M22</f>
        <v>0</v>
      </c>
      <c r="N21" s="304">
        <f>'4.sz.m.ÖNK kiadás'!N22</f>
        <v>0</v>
      </c>
      <c r="O21" s="304">
        <f>'4.sz.m.ÖNK kiadás'!O22</f>
        <v>0</v>
      </c>
      <c r="P21" s="304">
        <f>'4.sz.m.ÖNK kiadás'!P22</f>
        <v>0</v>
      </c>
      <c r="Q21" s="304"/>
      <c r="R21" s="304">
        <f>'4.sz.m.ÖNK kiadás'!Q22</f>
        <v>0</v>
      </c>
      <c r="S21" s="304">
        <f>'4.sz.m.ÖNK kiadás'!R22</f>
        <v>0</v>
      </c>
      <c r="T21" s="304">
        <f>'4.sz.m.ÖNK kiadás'!S22</f>
        <v>0</v>
      </c>
      <c r="U21" s="836"/>
      <c r="V21" s="374"/>
      <c r="W21" s="304"/>
      <c r="X21" s="304"/>
      <c r="Y21" s="304"/>
      <c r="Z21" s="304"/>
      <c r="AA21" s="304"/>
      <c r="AB21" s="304"/>
      <c r="AC21" s="836"/>
      <c r="AD21" s="374"/>
      <c r="AE21" s="304"/>
      <c r="AF21" s="304"/>
      <c r="AG21" s="304"/>
      <c r="AH21" s="304"/>
      <c r="AI21" s="304"/>
      <c r="AJ21" s="304"/>
      <c r="AK21" s="836"/>
    </row>
    <row r="22" spans="1:37" s="5" customFormat="1" ht="33" customHeight="1">
      <c r="A22" s="127"/>
      <c r="B22" s="259"/>
      <c r="C22" s="107" t="s">
        <v>104</v>
      </c>
      <c r="D22" s="259" t="s">
        <v>96</v>
      </c>
      <c r="E22" s="374">
        <f>'4.sz.m.ÖNK kiadás'!E23</f>
        <v>0</v>
      </c>
      <c r="F22" s="304">
        <f>'4.sz.m.ÖNK kiadás'!F23</f>
        <v>0</v>
      </c>
      <c r="G22" s="304">
        <f>'4.sz.m.ÖNK kiadás'!G23</f>
        <v>0</v>
      </c>
      <c r="H22" s="304">
        <f>'4.sz.m.ÖNK kiadás'!H23</f>
        <v>0</v>
      </c>
      <c r="I22" s="304">
        <f>'4.sz.m.ÖNK kiadás'!I23</f>
        <v>0</v>
      </c>
      <c r="J22" s="304">
        <f>'4.sz.m.ÖNK kiadás'!J23</f>
        <v>0</v>
      </c>
      <c r="K22" s="304">
        <f>'4.sz.m.ÖNK kiadás'!K23</f>
        <v>0</v>
      </c>
      <c r="L22" s="836"/>
      <c r="M22" s="374">
        <f>'4.sz.m.ÖNK kiadás'!M23</f>
        <v>0</v>
      </c>
      <c r="N22" s="304">
        <f>'4.sz.m.ÖNK kiadás'!N23</f>
        <v>0</v>
      </c>
      <c r="O22" s="304">
        <f>'4.sz.m.ÖNK kiadás'!O23</f>
        <v>0</v>
      </c>
      <c r="P22" s="304">
        <f>'4.sz.m.ÖNK kiadás'!P23</f>
        <v>0</v>
      </c>
      <c r="Q22" s="304"/>
      <c r="R22" s="304">
        <f>'4.sz.m.ÖNK kiadás'!Q23</f>
        <v>0</v>
      </c>
      <c r="S22" s="304">
        <f>'4.sz.m.ÖNK kiadás'!R23</f>
        <v>0</v>
      </c>
      <c r="T22" s="304">
        <f>'4.sz.m.ÖNK kiadás'!S23</f>
        <v>0</v>
      </c>
      <c r="U22" s="836"/>
      <c r="V22" s="374"/>
      <c r="W22" s="304"/>
      <c r="X22" s="304"/>
      <c r="Y22" s="304"/>
      <c r="Z22" s="304"/>
      <c r="AA22" s="304"/>
      <c r="AB22" s="304"/>
      <c r="AC22" s="836"/>
      <c r="AD22" s="374"/>
      <c r="AE22" s="304"/>
      <c r="AF22" s="304"/>
      <c r="AG22" s="304"/>
      <c r="AH22" s="304"/>
      <c r="AI22" s="304"/>
      <c r="AJ22" s="304"/>
      <c r="AK22" s="836"/>
    </row>
    <row r="23" spans="1:37" s="5" customFormat="1" ht="33" customHeight="1" thickBot="1">
      <c r="A23" s="284"/>
      <c r="B23" s="285"/>
      <c r="C23" s="286" t="s">
        <v>222</v>
      </c>
      <c r="D23" s="285" t="s">
        <v>223</v>
      </c>
      <c r="E23" s="374">
        <f>'4.sz.m.ÖNK kiadás'!E24</f>
        <v>0</v>
      </c>
      <c r="F23" s="304">
        <f>'4.sz.m.ÖNK kiadás'!F24</f>
        <v>0</v>
      </c>
      <c r="G23" s="304">
        <f>'4.sz.m.ÖNK kiadás'!G24</f>
        <v>0</v>
      </c>
      <c r="H23" s="304">
        <f>'4.sz.m.ÖNK kiadás'!H24</f>
        <v>0</v>
      </c>
      <c r="I23" s="304">
        <f>'4.sz.m.ÖNK kiadás'!I24</f>
        <v>0</v>
      </c>
      <c r="J23" s="304">
        <f>'4.sz.m.ÖNK kiadás'!J24</f>
        <v>0</v>
      </c>
      <c r="K23" s="304">
        <f>'4.sz.m.ÖNK kiadás'!K24</f>
        <v>0</v>
      </c>
      <c r="L23" s="836"/>
      <c r="M23" s="374">
        <f>'4.sz.m.ÖNK kiadás'!M24</f>
        <v>0</v>
      </c>
      <c r="N23" s="304">
        <f>'4.sz.m.ÖNK kiadás'!N24</f>
        <v>0</v>
      </c>
      <c r="O23" s="304">
        <f>'4.sz.m.ÖNK kiadás'!O24</f>
        <v>0</v>
      </c>
      <c r="P23" s="304">
        <f>'4.sz.m.ÖNK kiadás'!P24</f>
        <v>0</v>
      </c>
      <c r="Q23" s="304"/>
      <c r="R23" s="304">
        <f>'4.sz.m.ÖNK kiadás'!Q24</f>
        <v>0</v>
      </c>
      <c r="S23" s="304">
        <f>'4.sz.m.ÖNK kiadás'!R24</f>
        <v>0</v>
      </c>
      <c r="T23" s="304">
        <f>'4.sz.m.ÖNK kiadás'!S24</f>
        <v>0</v>
      </c>
      <c r="U23" s="836"/>
      <c r="V23" s="374"/>
      <c r="W23" s="304"/>
      <c r="X23" s="304"/>
      <c r="Y23" s="304"/>
      <c r="Z23" s="304"/>
      <c r="AA23" s="304"/>
      <c r="AB23" s="304"/>
      <c r="AC23" s="836"/>
      <c r="AD23" s="374"/>
      <c r="AE23" s="304"/>
      <c r="AF23" s="304"/>
      <c r="AG23" s="304"/>
      <c r="AH23" s="304"/>
      <c r="AI23" s="304"/>
      <c r="AJ23" s="304"/>
      <c r="AK23" s="836"/>
    </row>
    <row r="24" spans="1:37" s="5" customFormat="1" ht="33" customHeight="1" thickBot="1">
      <c r="A24" s="115" t="s">
        <v>10</v>
      </c>
      <c r="B24" s="1135" t="s">
        <v>105</v>
      </c>
      <c r="C24" s="1135"/>
      <c r="D24" s="1135"/>
      <c r="E24" s="375">
        <f aca="true" t="shared" si="10" ref="E24:K24">SUM(E25:E27)</f>
        <v>36747</v>
      </c>
      <c r="F24" s="79">
        <f t="shared" si="10"/>
        <v>30958</v>
      </c>
      <c r="G24" s="79">
        <f t="shared" si="10"/>
        <v>22728</v>
      </c>
      <c r="H24" s="79">
        <f t="shared" si="10"/>
        <v>25644</v>
      </c>
      <c r="I24" s="79">
        <f t="shared" si="10"/>
        <v>61802</v>
      </c>
      <c r="J24" s="79">
        <f t="shared" si="10"/>
        <v>0</v>
      </c>
      <c r="K24" s="79">
        <f t="shared" si="10"/>
        <v>0</v>
      </c>
      <c r="L24" s="835"/>
      <c r="M24" s="375">
        <f>SUM(M25:M27)</f>
        <v>36747</v>
      </c>
      <c r="N24" s="79">
        <f>SUM(N25:N27)</f>
        <v>30958</v>
      </c>
      <c r="O24" s="79">
        <f>SUM(O25:O27)</f>
        <v>22728</v>
      </c>
      <c r="P24" s="79">
        <f>SUM(P25:P27)</f>
        <v>25644</v>
      </c>
      <c r="Q24" s="79"/>
      <c r="R24" s="79">
        <f>SUM(R25:R27)</f>
        <v>61802</v>
      </c>
      <c r="S24" s="79">
        <f>SUM(S25:S27)</f>
        <v>0</v>
      </c>
      <c r="T24" s="79">
        <f>SUM(T25:T27)</f>
        <v>0</v>
      </c>
      <c r="U24" s="835"/>
      <c r="V24" s="375">
        <f aca="true" t="shared" si="11" ref="V24:AF24">SUM(V25:V27)</f>
        <v>0</v>
      </c>
      <c r="W24" s="79">
        <f>SUM(W25:W27)</f>
        <v>0</v>
      </c>
      <c r="X24" s="79">
        <f t="shared" si="11"/>
        <v>0</v>
      </c>
      <c r="Y24" s="79">
        <f>SUM(Y25:Y27)</f>
        <v>0</v>
      </c>
      <c r="Z24" s="79">
        <f>SUM(Z25:Z27)</f>
        <v>0</v>
      </c>
      <c r="AA24" s="79">
        <f>SUM(AA25:AA27)</f>
        <v>0</v>
      </c>
      <c r="AB24" s="79">
        <f>SUM(AB25:AB27)</f>
        <v>0</v>
      </c>
      <c r="AC24" s="835"/>
      <c r="AD24" s="375">
        <f t="shared" si="11"/>
        <v>0</v>
      </c>
      <c r="AE24" s="79">
        <f t="shared" si="11"/>
        <v>0</v>
      </c>
      <c r="AF24" s="79">
        <f t="shared" si="11"/>
        <v>0</v>
      </c>
      <c r="AG24" s="79">
        <f>SUM(AG25:AG27)</f>
        <v>0</v>
      </c>
      <c r="AH24" s="79">
        <f>SUM(AH25:AH27)</f>
        <v>0</v>
      </c>
      <c r="AI24" s="79">
        <f>SUM(AI25:AI27)</f>
        <v>0</v>
      </c>
      <c r="AJ24" s="79">
        <f>SUM(AJ25:AJ27)</f>
        <v>0</v>
      </c>
      <c r="AK24" s="835"/>
    </row>
    <row r="25" spans="1:37" s="5" customFormat="1" ht="33" customHeight="1">
      <c r="A25" s="114"/>
      <c r="B25" s="119" t="s">
        <v>45</v>
      </c>
      <c r="C25" s="1141" t="s">
        <v>3</v>
      </c>
      <c r="D25" s="1141"/>
      <c r="E25" s="374">
        <f>'4.sz.m.ÖNK kiadás'!E26</f>
        <v>36747</v>
      </c>
      <c r="F25" s="304">
        <f>'4.sz.m.ÖNK kiadás'!F26</f>
        <v>30958</v>
      </c>
      <c r="G25" s="304">
        <f>'4.sz.m.ÖNK kiadás'!G26</f>
        <v>22728</v>
      </c>
      <c r="H25" s="304">
        <f>'4.sz.m.ÖNK kiadás'!H26</f>
        <v>25644</v>
      </c>
      <c r="I25" s="304">
        <f>'4.sz.m.ÖNK kiadás'!I26</f>
        <v>61802</v>
      </c>
      <c r="J25" s="304">
        <f>'4.sz.m.ÖNK kiadás'!J26</f>
        <v>0</v>
      </c>
      <c r="K25" s="304">
        <f>'4.sz.m.ÖNK kiadás'!K26</f>
        <v>0</v>
      </c>
      <c r="L25" s="836"/>
      <c r="M25" s="374">
        <f>'4.sz.m.ÖNK kiadás'!M26</f>
        <v>36747</v>
      </c>
      <c r="N25" s="304">
        <f>'4.sz.m.ÖNK kiadás'!N26</f>
        <v>30958</v>
      </c>
      <c r="O25" s="304">
        <f>'4.sz.m.ÖNK kiadás'!O26</f>
        <v>22728</v>
      </c>
      <c r="P25" s="304">
        <f>'4.sz.m.ÖNK kiadás'!P26</f>
        <v>25644</v>
      </c>
      <c r="Q25" s="304"/>
      <c r="R25" s="304">
        <f>'4.sz.m.ÖNK kiadás'!Q26</f>
        <v>61802</v>
      </c>
      <c r="S25" s="304">
        <f>'4.sz.m.ÖNK kiadás'!R26</f>
        <v>0</v>
      </c>
      <c r="T25" s="304">
        <f>'4.sz.m.ÖNK kiadás'!S26</f>
        <v>0</v>
      </c>
      <c r="U25" s="836"/>
      <c r="V25" s="374"/>
      <c r="W25" s="304"/>
      <c r="X25" s="304"/>
      <c r="Y25" s="304"/>
      <c r="Z25" s="304"/>
      <c r="AA25" s="304"/>
      <c r="AB25" s="304"/>
      <c r="AC25" s="836"/>
      <c r="AD25" s="374"/>
      <c r="AE25" s="304"/>
      <c r="AF25" s="304"/>
      <c r="AG25" s="304"/>
      <c r="AH25" s="304"/>
      <c r="AI25" s="304"/>
      <c r="AJ25" s="304"/>
      <c r="AK25" s="836"/>
    </row>
    <row r="26" spans="1:37" s="8" customFormat="1" ht="33" customHeight="1">
      <c r="A26" s="128"/>
      <c r="B26" s="106" t="s">
        <v>46</v>
      </c>
      <c r="C26" s="1132" t="s">
        <v>307</v>
      </c>
      <c r="D26" s="1132"/>
      <c r="E26" s="374"/>
      <c r="F26" s="304"/>
      <c r="G26" s="304"/>
      <c r="H26" s="304"/>
      <c r="I26" s="304"/>
      <c r="J26" s="304"/>
      <c r="K26" s="304"/>
      <c r="L26" s="836"/>
      <c r="M26" s="374"/>
      <c r="N26" s="304"/>
      <c r="O26" s="304"/>
      <c r="P26" s="304"/>
      <c r="Q26" s="304"/>
      <c r="R26" s="304"/>
      <c r="S26" s="304"/>
      <c r="T26" s="304"/>
      <c r="U26" s="836"/>
      <c r="V26" s="374"/>
      <c r="W26" s="304"/>
      <c r="X26" s="304"/>
      <c r="Y26" s="304"/>
      <c r="Z26" s="304"/>
      <c r="AA26" s="304"/>
      <c r="AB26" s="304"/>
      <c r="AC26" s="836"/>
      <c r="AD26" s="374"/>
      <c r="AE26" s="304"/>
      <c r="AF26" s="304"/>
      <c r="AG26" s="304"/>
      <c r="AH26" s="304"/>
      <c r="AI26" s="304"/>
      <c r="AJ26" s="304"/>
      <c r="AK26" s="836"/>
    </row>
    <row r="27" spans="1:37" s="8" customFormat="1" ht="33" customHeight="1" thickBot="1">
      <c r="A27" s="134"/>
      <c r="B27" s="120" t="s">
        <v>73</v>
      </c>
      <c r="C27" s="135" t="s">
        <v>106</v>
      </c>
      <c r="D27" s="135"/>
      <c r="E27" s="374"/>
      <c r="F27" s="304"/>
      <c r="G27" s="304"/>
      <c r="H27" s="304"/>
      <c r="I27" s="304"/>
      <c r="J27" s="304"/>
      <c r="K27" s="304"/>
      <c r="L27" s="836"/>
      <c r="M27" s="374"/>
      <c r="N27" s="304"/>
      <c r="O27" s="304"/>
      <c r="P27" s="304"/>
      <c r="Q27" s="304"/>
      <c r="R27" s="304"/>
      <c r="S27" s="304"/>
      <c r="T27" s="304"/>
      <c r="U27" s="836"/>
      <c r="V27" s="374"/>
      <c r="W27" s="304"/>
      <c r="X27" s="304"/>
      <c r="Y27" s="304"/>
      <c r="Z27" s="304"/>
      <c r="AA27" s="304"/>
      <c r="AB27" s="304"/>
      <c r="AC27" s="836"/>
      <c r="AD27" s="374"/>
      <c r="AE27" s="304"/>
      <c r="AF27" s="304"/>
      <c r="AG27" s="304"/>
      <c r="AH27" s="304"/>
      <c r="AI27" s="304"/>
      <c r="AJ27" s="304"/>
      <c r="AK27" s="836"/>
    </row>
    <row r="28" spans="1:37" s="8" customFormat="1" ht="33" customHeight="1" thickBot="1">
      <c r="A28" s="95" t="s">
        <v>11</v>
      </c>
      <c r="B28" s="121" t="s">
        <v>107</v>
      </c>
      <c r="C28" s="121"/>
      <c r="D28" s="121"/>
      <c r="E28" s="376">
        <v>0</v>
      </c>
      <c r="F28" s="377">
        <v>0</v>
      </c>
      <c r="G28" s="377">
        <v>0</v>
      </c>
      <c r="H28" s="377">
        <v>0</v>
      </c>
      <c r="I28" s="377">
        <v>0</v>
      </c>
      <c r="J28" s="377">
        <v>0</v>
      </c>
      <c r="K28" s="377">
        <v>0</v>
      </c>
      <c r="L28" s="837"/>
      <c r="M28" s="376">
        <v>0</v>
      </c>
      <c r="N28" s="377">
        <v>0</v>
      </c>
      <c r="O28" s="377">
        <v>0</v>
      </c>
      <c r="P28" s="377"/>
      <c r="Q28" s="377"/>
      <c r="R28" s="377"/>
      <c r="S28" s="377"/>
      <c r="T28" s="377"/>
      <c r="U28" s="837"/>
      <c r="V28" s="376"/>
      <c r="W28" s="377"/>
      <c r="X28" s="377"/>
      <c r="Y28" s="377"/>
      <c r="Z28" s="377"/>
      <c r="AA28" s="377"/>
      <c r="AB28" s="377"/>
      <c r="AC28" s="837"/>
      <c r="AD28" s="376"/>
      <c r="AE28" s="377"/>
      <c r="AF28" s="377"/>
      <c r="AG28" s="377"/>
      <c r="AH28" s="377"/>
      <c r="AI28" s="377"/>
      <c r="AJ28" s="377"/>
      <c r="AK28" s="837"/>
    </row>
    <row r="29" spans="1:37" s="8" customFormat="1" ht="33" customHeight="1" thickBot="1">
      <c r="A29" s="115" t="s">
        <v>12</v>
      </c>
      <c r="B29" s="1110" t="s">
        <v>108</v>
      </c>
      <c r="C29" s="1110"/>
      <c r="D29" s="1110"/>
      <c r="E29" s="373">
        <f aca="true" t="shared" si="12" ref="E29:P29">E5+E16+E24+E28</f>
        <v>594918</v>
      </c>
      <c r="F29" s="302">
        <f t="shared" si="12"/>
        <v>594134</v>
      </c>
      <c r="G29" s="302">
        <f t="shared" si="12"/>
        <v>602207</v>
      </c>
      <c r="H29" s="302">
        <f t="shared" si="12"/>
        <v>609867</v>
      </c>
      <c r="I29" s="302">
        <f t="shared" si="12"/>
        <v>655973</v>
      </c>
      <c r="J29" s="302">
        <f t="shared" si="12"/>
        <v>681809</v>
      </c>
      <c r="K29" s="302">
        <f>K5+K16+K24+K28</f>
        <v>533814</v>
      </c>
      <c r="L29" s="831">
        <f t="shared" si="2"/>
        <v>0.7829377435616133</v>
      </c>
      <c r="M29" s="373">
        <f t="shared" si="12"/>
        <v>574083</v>
      </c>
      <c r="N29" s="302">
        <f t="shared" si="12"/>
        <v>573299</v>
      </c>
      <c r="O29" s="302">
        <f t="shared" si="12"/>
        <v>580539</v>
      </c>
      <c r="P29" s="302">
        <f t="shared" si="12"/>
        <v>588199</v>
      </c>
      <c r="Q29" s="302"/>
      <c r="R29" s="302">
        <f>R5+R16+R24+R28</f>
        <v>634305</v>
      </c>
      <c r="S29" s="302">
        <f>S5+S16+S24+S28</f>
        <v>660825</v>
      </c>
      <c r="T29" s="302">
        <f>T5+T16+T24+T28</f>
        <v>516400</v>
      </c>
      <c r="U29" s="831">
        <f t="shared" si="5"/>
        <v>0.7814474331328264</v>
      </c>
      <c r="V29" s="373">
        <f aca="true" t="shared" si="13" ref="V29:AI29">V5+V16+V24+V28</f>
        <v>20835</v>
      </c>
      <c r="W29" s="302">
        <f t="shared" si="13"/>
        <v>20835</v>
      </c>
      <c r="X29" s="302">
        <f t="shared" si="13"/>
        <v>21668</v>
      </c>
      <c r="Y29" s="302">
        <f t="shared" si="13"/>
        <v>21668</v>
      </c>
      <c r="Z29" s="302">
        <f t="shared" si="13"/>
        <v>21668</v>
      </c>
      <c r="AA29" s="302">
        <f t="shared" si="13"/>
        <v>20984</v>
      </c>
      <c r="AB29" s="302">
        <f>AB5+AB16+AB24+AB28</f>
        <v>17414</v>
      </c>
      <c r="AC29" s="831">
        <f t="shared" si="6"/>
        <v>0.8298703774304231</v>
      </c>
      <c r="AD29" s="373">
        <f t="shared" si="13"/>
        <v>6883</v>
      </c>
      <c r="AE29" s="302">
        <f t="shared" si="13"/>
        <v>6883</v>
      </c>
      <c r="AF29" s="302">
        <f t="shared" si="13"/>
        <v>6883</v>
      </c>
      <c r="AG29" s="302">
        <f t="shared" si="13"/>
        <v>6883</v>
      </c>
      <c r="AH29" s="302">
        <f t="shared" si="13"/>
        <v>6883</v>
      </c>
      <c r="AI29" s="302">
        <f t="shared" si="13"/>
        <v>6883</v>
      </c>
      <c r="AJ29" s="302">
        <f>AJ5+AJ16+AJ24+AJ28</f>
        <v>6877</v>
      </c>
      <c r="AK29" s="831">
        <f>AJ29/AI29</f>
        <v>0.9991282870841203</v>
      </c>
    </row>
    <row r="30" spans="1:37" s="8" customFormat="1" ht="33" customHeight="1" thickBot="1">
      <c r="A30" s="93" t="s">
        <v>13</v>
      </c>
      <c r="B30" s="1134" t="s">
        <v>224</v>
      </c>
      <c r="C30" s="1134"/>
      <c r="D30" s="1134"/>
      <c r="E30" s="378">
        <v>0</v>
      </c>
      <c r="F30" s="118">
        <f aca="true" t="shared" si="14" ref="F30:K30">SUM(F31:F33)</f>
        <v>8934</v>
      </c>
      <c r="G30" s="118">
        <f t="shared" si="14"/>
        <v>8934</v>
      </c>
      <c r="H30" s="118">
        <f t="shared" si="14"/>
        <v>8934</v>
      </c>
      <c r="I30" s="118">
        <f t="shared" si="14"/>
        <v>8934</v>
      </c>
      <c r="J30" s="118">
        <f t="shared" si="14"/>
        <v>8934</v>
      </c>
      <c r="K30" s="118">
        <f t="shared" si="14"/>
        <v>8934</v>
      </c>
      <c r="L30" s="831">
        <f t="shared" si="2"/>
        <v>1</v>
      </c>
      <c r="M30" s="378"/>
      <c r="N30" s="118">
        <f>SUM(N31:N33)</f>
        <v>8934</v>
      </c>
      <c r="O30" s="118">
        <f>SUM(O31:O33)</f>
        <v>8934</v>
      </c>
      <c r="P30" s="118">
        <f>SUM(P31:P33)</f>
        <v>8934</v>
      </c>
      <c r="Q30" s="118"/>
      <c r="R30" s="118">
        <f>SUM(R31:R33)</f>
        <v>8934</v>
      </c>
      <c r="S30" s="118">
        <f>SUM(S31:S33)</f>
        <v>8934</v>
      </c>
      <c r="T30" s="118">
        <f>SUM(T31:T33)</f>
        <v>8934</v>
      </c>
      <c r="U30" s="831">
        <f t="shared" si="5"/>
        <v>1</v>
      </c>
      <c r="V30" s="378"/>
      <c r="W30" s="118"/>
      <c r="X30" s="118"/>
      <c r="Y30" s="118"/>
      <c r="Z30" s="118"/>
      <c r="AA30" s="118"/>
      <c r="AB30" s="118"/>
      <c r="AC30" s="831"/>
      <c r="AD30" s="378"/>
      <c r="AE30" s="118"/>
      <c r="AF30" s="118"/>
      <c r="AG30" s="118"/>
      <c r="AH30" s="118"/>
      <c r="AI30" s="118"/>
      <c r="AJ30" s="118"/>
      <c r="AK30" s="831"/>
    </row>
    <row r="31" spans="1:37" s="5" customFormat="1" ht="33" customHeight="1">
      <c r="A31" s="137"/>
      <c r="B31" s="119" t="s">
        <v>49</v>
      </c>
      <c r="C31" s="1111" t="s">
        <v>309</v>
      </c>
      <c r="D31" s="1111"/>
      <c r="E31" s="374"/>
      <c r="F31" s="304"/>
      <c r="G31" s="304"/>
      <c r="H31" s="304"/>
      <c r="I31" s="304"/>
      <c r="J31" s="304"/>
      <c r="K31" s="304"/>
      <c r="L31" s="836"/>
      <c r="M31" s="374"/>
      <c r="N31" s="304"/>
      <c r="O31" s="304"/>
      <c r="P31" s="304"/>
      <c r="Q31" s="304"/>
      <c r="R31" s="304"/>
      <c r="S31" s="304"/>
      <c r="T31" s="304"/>
      <c r="U31" s="836"/>
      <c r="V31" s="374"/>
      <c r="W31" s="304"/>
      <c r="X31" s="304"/>
      <c r="Y31" s="304"/>
      <c r="Z31" s="304"/>
      <c r="AA31" s="304"/>
      <c r="AB31" s="304"/>
      <c r="AC31" s="836"/>
      <c r="AD31" s="374"/>
      <c r="AE31" s="304"/>
      <c r="AF31" s="304"/>
      <c r="AG31" s="304"/>
      <c r="AH31" s="304"/>
      <c r="AI31" s="304"/>
      <c r="AJ31" s="304"/>
      <c r="AK31" s="836"/>
    </row>
    <row r="32" spans="1:37" s="5" customFormat="1" ht="33" customHeight="1">
      <c r="A32" s="133"/>
      <c r="B32" s="120" t="s">
        <v>355</v>
      </c>
      <c r="C32" s="1133" t="s">
        <v>310</v>
      </c>
      <c r="D32" s="1133"/>
      <c r="E32" s="379"/>
      <c r="F32" s="136"/>
      <c r="G32" s="136"/>
      <c r="H32" s="136"/>
      <c r="I32" s="136"/>
      <c r="J32" s="136"/>
      <c r="K32" s="136"/>
      <c r="L32" s="1077"/>
      <c r="M32" s="422"/>
      <c r="N32" s="423"/>
      <c r="O32" s="423"/>
      <c r="P32" s="423"/>
      <c r="Q32" s="423"/>
      <c r="R32" s="423"/>
      <c r="S32" s="423"/>
      <c r="T32" s="423"/>
      <c r="U32" s="1077"/>
      <c r="V32" s="379"/>
      <c r="W32" s="136"/>
      <c r="X32" s="136"/>
      <c r="Y32" s="136"/>
      <c r="Z32" s="136"/>
      <c r="AA32" s="136"/>
      <c r="AB32" s="136"/>
      <c r="AC32" s="1077"/>
      <c r="AD32" s="379"/>
      <c r="AE32" s="136"/>
      <c r="AF32" s="136"/>
      <c r="AG32" s="136"/>
      <c r="AH32" s="136"/>
      <c r="AI32" s="136"/>
      <c r="AJ32" s="136"/>
      <c r="AK32" s="1077"/>
    </row>
    <row r="33" spans="1:37" s="5" customFormat="1" ht="33" customHeight="1" thickBot="1">
      <c r="A33" s="133"/>
      <c r="B33" s="120" t="s">
        <v>513</v>
      </c>
      <c r="C33" s="1133" t="s">
        <v>512</v>
      </c>
      <c r="D33" s="1133"/>
      <c r="E33" s="379"/>
      <c r="F33" s="136">
        <f>'4.sz.m.ÖNK kiadás'!F36</f>
        <v>8934</v>
      </c>
      <c r="G33" s="136">
        <f>'4.sz.m.ÖNK kiadás'!G36</f>
        <v>8934</v>
      </c>
      <c r="H33" s="136">
        <f>'4.sz.m.ÖNK kiadás'!H36</f>
        <v>8934</v>
      </c>
      <c r="I33" s="136">
        <f>'4.sz.m.ÖNK kiadás'!I36</f>
        <v>8934</v>
      </c>
      <c r="J33" s="136">
        <f>'4.sz.m.ÖNK kiadás'!J36</f>
        <v>8934</v>
      </c>
      <c r="K33" s="136">
        <f>'4.sz.m.ÖNK kiadás'!K36</f>
        <v>8934</v>
      </c>
      <c r="L33" s="1078">
        <f t="shared" si="2"/>
        <v>1</v>
      </c>
      <c r="M33" s="1079"/>
      <c r="N33" s="1080">
        <v>8934</v>
      </c>
      <c r="O33" s="1080">
        <v>8934</v>
      </c>
      <c r="P33" s="1080">
        <f>H33</f>
        <v>8934</v>
      </c>
      <c r="Q33" s="1080"/>
      <c r="R33" s="1080">
        <f>I33</f>
        <v>8934</v>
      </c>
      <c r="S33" s="1080">
        <f>J33</f>
        <v>8934</v>
      </c>
      <c r="T33" s="1080">
        <f>K33</f>
        <v>8934</v>
      </c>
      <c r="U33" s="1078">
        <f t="shared" si="5"/>
        <v>1</v>
      </c>
      <c r="V33" s="379"/>
      <c r="W33" s="136"/>
      <c r="X33" s="136"/>
      <c r="Y33" s="136"/>
      <c r="Z33" s="136"/>
      <c r="AA33" s="136"/>
      <c r="AB33" s="136"/>
      <c r="AC33" s="1078"/>
      <c r="AD33" s="379"/>
      <c r="AE33" s="136"/>
      <c r="AF33" s="136"/>
      <c r="AG33" s="136"/>
      <c r="AH33" s="136"/>
      <c r="AI33" s="136"/>
      <c r="AJ33" s="136"/>
      <c r="AK33" s="1078"/>
    </row>
    <row r="34" spans="1:37" s="5" customFormat="1" ht="33" customHeight="1" thickBot="1">
      <c r="A34" s="396" t="s">
        <v>14</v>
      </c>
      <c r="B34" s="1149" t="s">
        <v>256</v>
      </c>
      <c r="C34" s="1149"/>
      <c r="D34" s="1149"/>
      <c r="E34" s="397">
        <f aca="true" t="shared" si="15" ref="E34:K34">E29+E30</f>
        <v>594918</v>
      </c>
      <c r="F34" s="398">
        <f t="shared" si="15"/>
        <v>603068</v>
      </c>
      <c r="G34" s="398">
        <f t="shared" si="15"/>
        <v>611141</v>
      </c>
      <c r="H34" s="398">
        <f t="shared" si="15"/>
        <v>618801</v>
      </c>
      <c r="I34" s="398">
        <f t="shared" si="15"/>
        <v>664907</v>
      </c>
      <c r="J34" s="398">
        <f t="shared" si="15"/>
        <v>690743</v>
      </c>
      <c r="K34" s="398">
        <f t="shared" si="15"/>
        <v>542748</v>
      </c>
      <c r="L34" s="841">
        <f t="shared" si="2"/>
        <v>0.7857452048012068</v>
      </c>
      <c r="M34" s="397">
        <f>M29+M30</f>
        <v>574083</v>
      </c>
      <c r="N34" s="398">
        <f>N29+N30</f>
        <v>582233</v>
      </c>
      <c r="O34" s="398">
        <f>O29+O30</f>
        <v>589473</v>
      </c>
      <c r="P34" s="398">
        <f>P29+P30</f>
        <v>597133</v>
      </c>
      <c r="Q34" s="398"/>
      <c r="R34" s="398">
        <f>R29+R30</f>
        <v>643239</v>
      </c>
      <c r="S34" s="398">
        <f>S29+S30</f>
        <v>669759</v>
      </c>
      <c r="T34" s="398">
        <f>T29+T30</f>
        <v>525334</v>
      </c>
      <c r="U34" s="841">
        <f t="shared" si="5"/>
        <v>0.7843627334608418</v>
      </c>
      <c r="V34" s="397">
        <f aca="true" t="shared" si="16" ref="V34:AF34">V29+V30</f>
        <v>20835</v>
      </c>
      <c r="W34" s="398">
        <f>W29+W30</f>
        <v>20835</v>
      </c>
      <c r="X34" s="398">
        <f t="shared" si="16"/>
        <v>21668</v>
      </c>
      <c r="Y34" s="398">
        <f>Y29+Y30</f>
        <v>21668</v>
      </c>
      <c r="Z34" s="398">
        <f>Z29+Z30</f>
        <v>21668</v>
      </c>
      <c r="AA34" s="398">
        <f>AA29+AA30</f>
        <v>20984</v>
      </c>
      <c r="AB34" s="398">
        <f>AB29+AB30</f>
        <v>17414</v>
      </c>
      <c r="AC34" s="841">
        <f t="shared" si="6"/>
        <v>0.8298703774304231</v>
      </c>
      <c r="AD34" s="397">
        <f t="shared" si="16"/>
        <v>6883</v>
      </c>
      <c r="AE34" s="398">
        <f t="shared" si="16"/>
        <v>6883</v>
      </c>
      <c r="AF34" s="398">
        <f t="shared" si="16"/>
        <v>6883</v>
      </c>
      <c r="AG34" s="398">
        <f>AG29+AG30</f>
        <v>6883</v>
      </c>
      <c r="AH34" s="398">
        <f>AH29+AH30</f>
        <v>6883</v>
      </c>
      <c r="AI34" s="398">
        <f>AI29+AI30</f>
        <v>6883</v>
      </c>
      <c r="AJ34" s="398">
        <f>AJ29+AJ30</f>
        <v>6877</v>
      </c>
      <c r="AK34" s="841">
        <f>AJ34/AI34</f>
        <v>0.9991282870841203</v>
      </c>
    </row>
    <row r="35" spans="1:37" s="5" customFormat="1" ht="33" customHeight="1" hidden="1" thickBot="1">
      <c r="A35" s="1139" t="s">
        <v>257</v>
      </c>
      <c r="B35" s="1140"/>
      <c r="C35" s="1140"/>
      <c r="D35" s="1140"/>
      <c r="E35" s="474"/>
      <c r="F35" s="399"/>
      <c r="G35" s="399"/>
      <c r="H35" s="399"/>
      <c r="I35" s="399"/>
      <c r="J35" s="399"/>
      <c r="K35" s="399"/>
      <c r="L35" s="840" t="e">
        <f t="shared" si="2"/>
        <v>#DIV/0!</v>
      </c>
      <c r="M35" s="474"/>
      <c r="N35" s="399"/>
      <c r="O35" s="399"/>
      <c r="P35" s="399"/>
      <c r="Q35" s="399"/>
      <c r="R35" s="399"/>
      <c r="S35" s="399"/>
      <c r="T35" s="399"/>
      <c r="U35" s="840" t="e">
        <f t="shared" si="5"/>
        <v>#DIV/0!</v>
      </c>
      <c r="V35" s="474"/>
      <c r="W35" s="399"/>
      <c r="X35" s="399"/>
      <c r="Y35" s="399"/>
      <c r="Z35" s="399"/>
      <c r="AA35" s="399"/>
      <c r="AB35" s="399"/>
      <c r="AC35" s="840" t="e">
        <f t="shared" si="6"/>
        <v>#DIV/0!</v>
      </c>
      <c r="AD35" s="474"/>
      <c r="AE35" s="399"/>
      <c r="AF35" s="399"/>
      <c r="AG35" s="399"/>
      <c r="AH35" s="399"/>
      <c r="AI35" s="399"/>
      <c r="AJ35" s="399"/>
      <c r="AK35" s="840" t="e">
        <f>AJ35/AI35</f>
        <v>#DIV/0!</v>
      </c>
    </row>
    <row r="36" spans="1:37" s="5" customFormat="1" ht="33" customHeight="1" thickBot="1">
      <c r="A36" s="1109" t="s">
        <v>110</v>
      </c>
      <c r="B36" s="1110"/>
      <c r="C36" s="1110"/>
      <c r="D36" s="1110"/>
      <c r="E36" s="375">
        <f aca="true" t="shared" si="17" ref="E36:P36">E34+E35</f>
        <v>594918</v>
      </c>
      <c r="F36" s="79">
        <f t="shared" si="17"/>
        <v>603068</v>
      </c>
      <c r="G36" s="79">
        <f t="shared" si="17"/>
        <v>611141</v>
      </c>
      <c r="H36" s="79">
        <f t="shared" si="17"/>
        <v>618801</v>
      </c>
      <c r="I36" s="79">
        <f t="shared" si="17"/>
        <v>664907</v>
      </c>
      <c r="J36" s="79">
        <f t="shared" si="17"/>
        <v>690743</v>
      </c>
      <c r="K36" s="79">
        <f>K34+K35</f>
        <v>542748</v>
      </c>
      <c r="L36" s="835">
        <f t="shared" si="2"/>
        <v>0.7857452048012068</v>
      </c>
      <c r="M36" s="375">
        <f t="shared" si="17"/>
        <v>574083</v>
      </c>
      <c r="N36" s="79">
        <f t="shared" si="17"/>
        <v>582233</v>
      </c>
      <c r="O36" s="79">
        <f t="shared" si="17"/>
        <v>589473</v>
      </c>
      <c r="P36" s="79">
        <f t="shared" si="17"/>
        <v>597133</v>
      </c>
      <c r="Q36" s="79"/>
      <c r="R36" s="79">
        <f>R34+R35</f>
        <v>643239</v>
      </c>
      <c r="S36" s="79">
        <f>S34+S35</f>
        <v>669759</v>
      </c>
      <c r="T36" s="79">
        <f>T34+T35</f>
        <v>525334</v>
      </c>
      <c r="U36" s="835">
        <f t="shared" si="5"/>
        <v>0.7843627334608418</v>
      </c>
      <c r="V36" s="375">
        <f aca="true" t="shared" si="18" ref="V36:AI36">V34+V35</f>
        <v>20835</v>
      </c>
      <c r="W36" s="79">
        <f t="shared" si="18"/>
        <v>20835</v>
      </c>
      <c r="X36" s="79">
        <f t="shared" si="18"/>
        <v>21668</v>
      </c>
      <c r="Y36" s="79">
        <f t="shared" si="18"/>
        <v>21668</v>
      </c>
      <c r="Z36" s="79">
        <f t="shared" si="18"/>
        <v>21668</v>
      </c>
      <c r="AA36" s="79">
        <f t="shared" si="18"/>
        <v>20984</v>
      </c>
      <c r="AB36" s="79">
        <f>AB34+AB35</f>
        <v>17414</v>
      </c>
      <c r="AC36" s="835">
        <f t="shared" si="6"/>
        <v>0.8298703774304231</v>
      </c>
      <c r="AD36" s="375">
        <f t="shared" si="18"/>
        <v>6883</v>
      </c>
      <c r="AE36" s="79">
        <f t="shared" si="18"/>
        <v>6883</v>
      </c>
      <c r="AF36" s="79">
        <f t="shared" si="18"/>
        <v>6883</v>
      </c>
      <c r="AG36" s="79">
        <f t="shared" si="18"/>
        <v>6883</v>
      </c>
      <c r="AH36" s="79">
        <f t="shared" si="18"/>
        <v>6883</v>
      </c>
      <c r="AI36" s="79">
        <f t="shared" si="18"/>
        <v>6883</v>
      </c>
      <c r="AJ36" s="79">
        <f>AJ34+AJ35</f>
        <v>6877</v>
      </c>
      <c r="AK36" s="835">
        <f>AJ36/AI36</f>
        <v>0.9991282870841203</v>
      </c>
    </row>
    <row r="37" spans="1:36" s="5" customFormat="1" ht="19.5" customHeight="1">
      <c r="A37" s="65"/>
      <c r="B37" s="122"/>
      <c r="C37" s="65"/>
      <c r="D37" s="65"/>
      <c r="E37" s="6"/>
      <c r="F37" s="6"/>
      <c r="G37" s="6"/>
      <c r="H37" s="6"/>
      <c r="I37" s="6"/>
      <c r="J37" s="6"/>
      <c r="K37" s="6"/>
      <c r="L37" s="6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476"/>
      <c r="AE37" s="476"/>
      <c r="AF37" s="476"/>
      <c r="AG37" s="476"/>
      <c r="AH37" s="476"/>
      <c r="AI37" s="476"/>
      <c r="AJ37" s="476"/>
    </row>
    <row r="38" spans="1:36" s="5" customFormat="1" ht="19.5" customHeight="1">
      <c r="A38" s="65"/>
      <c r="B38" s="122"/>
      <c r="C38" s="65"/>
      <c r="D38" s="65"/>
      <c r="E38" s="6"/>
      <c r="F38" s="6"/>
      <c r="G38" s="6"/>
      <c r="H38" s="6"/>
      <c r="I38" s="6"/>
      <c r="J38" s="6"/>
      <c r="K38" s="6"/>
      <c r="L38" s="6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475"/>
      <c r="AE38" s="475"/>
      <c r="AF38" s="475"/>
      <c r="AG38" s="475"/>
      <c r="AH38" s="475"/>
      <c r="AI38" s="475"/>
      <c r="AJ38" s="475"/>
    </row>
    <row r="39" spans="1:36" s="5" customFormat="1" ht="19.5" customHeight="1">
      <c r="A39" s="65"/>
      <c r="B39" s="122"/>
      <c r="C39" s="1159" t="s">
        <v>56</v>
      </c>
      <c r="D39" s="1159"/>
      <c r="E39" s="1159"/>
      <c r="F39" s="1159"/>
      <c r="G39" s="1159"/>
      <c r="H39" s="1159"/>
      <c r="I39" s="1159"/>
      <c r="J39" s="1159"/>
      <c r="K39" s="1159"/>
      <c r="L39" s="1159"/>
      <c r="M39" s="1159"/>
      <c r="N39" s="1159"/>
      <c r="O39" s="1159"/>
      <c r="P39" s="1159"/>
      <c r="Q39" s="1159"/>
      <c r="R39" s="1159"/>
      <c r="S39" s="1159"/>
      <c r="T39" s="1159"/>
      <c r="U39" s="1159"/>
      <c r="V39" s="1159"/>
      <c r="W39" s="314"/>
      <c r="X39" s="314"/>
      <c r="Y39" s="314"/>
      <c r="Z39" s="314"/>
      <c r="AA39" s="314"/>
      <c r="AB39" s="314"/>
      <c r="AC39" s="314"/>
      <c r="AD39" s="477"/>
      <c r="AE39" s="477"/>
      <c r="AF39" s="477"/>
      <c r="AG39" s="477"/>
      <c r="AH39" s="477"/>
      <c r="AI39" s="478"/>
      <c r="AJ39" s="478"/>
    </row>
    <row r="40" spans="1:36" s="5" customFormat="1" ht="19.5" customHeight="1" thickBot="1">
      <c r="A40" s="267" t="s">
        <v>57</v>
      </c>
      <c r="B40" s="267"/>
      <c r="E40" s="245"/>
      <c r="F40" s="245"/>
      <c r="G40" s="245"/>
      <c r="H40" s="245"/>
      <c r="I40" s="245"/>
      <c r="J40" s="245"/>
      <c r="K40" s="245"/>
      <c r="L40" s="245"/>
      <c r="M40" s="246"/>
      <c r="N40" s="246"/>
      <c r="O40" s="246"/>
      <c r="P40" s="246"/>
      <c r="Q40" s="246"/>
      <c r="R40" s="246"/>
      <c r="S40" s="246"/>
      <c r="T40" s="246"/>
      <c r="U40" s="246"/>
      <c r="V40" s="247">
        <v>0</v>
      </c>
      <c r="W40" s="247"/>
      <c r="X40" s="247"/>
      <c r="Y40" s="247"/>
      <c r="Z40" s="247"/>
      <c r="AA40" s="247"/>
      <c r="AB40" s="247"/>
      <c r="AC40" s="247"/>
      <c r="AD40" s="479"/>
      <c r="AE40" s="479"/>
      <c r="AF40" s="479"/>
      <c r="AG40" s="479"/>
      <c r="AH40" s="479"/>
      <c r="AI40" s="480"/>
      <c r="AJ40" s="480"/>
    </row>
    <row r="41" spans="1:37" ht="52.5" customHeight="1" thickBot="1">
      <c r="A41" s="248">
        <v>1</v>
      </c>
      <c r="B41" s="1170" t="s">
        <v>160</v>
      </c>
      <c r="C41" s="1171"/>
      <c r="D41" s="1172"/>
      <c r="E41" s="266">
        <f>'1.sz.m-önk.össze.bev'!E55-'1 .sz.m.önk.össz.kiad.'!E29</f>
        <v>-116812</v>
      </c>
      <c r="F41" s="266">
        <f>'1.sz.m-önk.össze.bev'!F55-'1 .sz.m.önk.össz.kiad.'!F29</f>
        <v>-107878</v>
      </c>
      <c r="G41" s="266">
        <f>'1.sz.m-önk.össze.bev'!G55-'1 .sz.m.önk.össz.kiad.'!G29</f>
        <v>-107853</v>
      </c>
      <c r="H41" s="266">
        <f>'1.sz.m-önk.össze.bev'!H55-'1 .sz.m.önk.össz.kiad.'!H29</f>
        <v>-107853</v>
      </c>
      <c r="I41" s="266">
        <f>'1.sz.m-önk.össze.bev'!I55-'1 .sz.m.önk.össz.kiad.'!I29</f>
        <v>-120014</v>
      </c>
      <c r="J41" s="266">
        <f>'1.sz.m-önk.össze.bev'!J55-'1 .sz.m.önk.össz.kiad.'!J29</f>
        <v>-95819</v>
      </c>
      <c r="K41" s="266">
        <f>'1.sz.m-önk.össze.bev'!K55-'1 .sz.m.önk.össz.kiad.'!K29</f>
        <v>42747</v>
      </c>
      <c r="L41" s="266">
        <f>'1.sz.m-önk.össze.bev'!L55-'1 .sz.m.önk.össz.kiad.'!L29</f>
        <v>0.20097153816674385</v>
      </c>
      <c r="M41" s="266">
        <f>'1.sz.m-önk.össze.bev'!M55-'1 .sz.m.önk.össz.kiad.'!M29</f>
        <v>-116812</v>
      </c>
      <c r="N41" s="266">
        <f>'1.sz.m-önk.össze.bev'!N55-'1 .sz.m.önk.össz.kiad.'!N29</f>
        <v>-107878</v>
      </c>
      <c r="O41" s="266">
        <f>'1.sz.m-önk.össze.bev'!O55-'1 .sz.m.önk.össz.kiad.'!O29</f>
        <v>-107853</v>
      </c>
      <c r="P41" s="266">
        <f>'1.sz.m-önk.össze.bev'!P55-'1 .sz.m.önk.össz.kiad.'!P29</f>
        <v>-107853</v>
      </c>
      <c r="Q41" s="266">
        <f>'1.sz.m-önk.össze.bev'!Q55-'1 .sz.m.önk.össz.kiad.'!Q29</f>
        <v>0</v>
      </c>
      <c r="R41" s="266">
        <f>'1.sz.m-önk.össze.bev'!R55-'1 .sz.m.önk.össz.kiad.'!R29</f>
        <v>-120014</v>
      </c>
      <c r="S41" s="266">
        <f>'1.sz.m-önk.össze.bev'!S55-'1 .sz.m.önk.össz.kiad.'!S29</f>
        <v>-95819</v>
      </c>
      <c r="T41" s="266">
        <f>'1.sz.m-önk.össze.bev'!T55-'1 .sz.m.önk.össz.kiad.'!T29</f>
        <v>42747</v>
      </c>
      <c r="U41" s="266">
        <f>'1.sz.m-önk.össze.bev'!U55-'1 .sz.m.önk.össz.kiad.'!U29</f>
        <v>0.2081827654845334</v>
      </c>
      <c r="V41" s="266">
        <f>'1.sz.m-önk.össze.bev'!V55-'1 .sz.m.önk.össz.kiad.'!V29</f>
        <v>0</v>
      </c>
      <c r="W41" s="266">
        <f>'1.sz.m-önk.össze.bev'!W55-'1 .sz.m.önk.össz.kiad.'!W29</f>
        <v>0</v>
      </c>
      <c r="X41" s="266">
        <f>'1.sz.m-önk.össze.bev'!X55-'1 .sz.m.önk.össz.kiad.'!X29</f>
        <v>0</v>
      </c>
      <c r="Y41" s="266">
        <f>'1.sz.m-önk.össze.bev'!Y55-'1 .sz.m.önk.össz.kiad.'!Y29</f>
        <v>0</v>
      </c>
      <c r="Z41" s="266">
        <f>'1.sz.m-önk.össze.bev'!Z55-'1 .sz.m.önk.össz.kiad.'!Z29</f>
        <v>0</v>
      </c>
      <c r="AA41" s="266">
        <f>'1.sz.m-önk.össze.bev'!AA55-'1 .sz.m.önk.össz.kiad.'!AA29</f>
        <v>0</v>
      </c>
      <c r="AB41" s="266">
        <f>'1.sz.m-önk.össze.bev'!AB55-'1 .sz.m.önk.össz.kiad.'!AB29</f>
        <v>0</v>
      </c>
      <c r="AC41" s="266">
        <f>'1.sz.m-önk.össze.bev'!AC55-'1 .sz.m.önk.össz.kiad.'!AC29</f>
        <v>0</v>
      </c>
      <c r="AD41" s="266">
        <f>'1.sz.m-önk.össze.bev'!AD55-'1 .sz.m.önk.össz.kiad.'!AD29</f>
        <v>-6883</v>
      </c>
      <c r="AE41" s="266">
        <f>'1.sz.m-önk.össze.bev'!AE55-'1 .sz.m.önk.össz.kiad.'!AE29</f>
        <v>-6883</v>
      </c>
      <c r="AF41" s="266">
        <f>'1.sz.m-önk.össze.bev'!AF55-'1 .sz.m.önk.össz.kiad.'!AF29</f>
        <v>-6883</v>
      </c>
      <c r="AG41" s="266">
        <f>'1.sz.m-önk.össze.bev'!AG55-'1 .sz.m.önk.össz.kiad.'!AG29</f>
        <v>-6883</v>
      </c>
      <c r="AH41" s="266">
        <f>'1.sz.m-önk.össze.bev'!AH55-'1 .sz.m.önk.össz.kiad.'!AH29</f>
        <v>-6883</v>
      </c>
      <c r="AI41" s="266">
        <f>'1.sz.m-önk.össze.bev'!AI55-'1 .sz.m.önk.össz.kiad.'!AI29</f>
        <v>-6883</v>
      </c>
      <c r="AJ41" s="266">
        <f>'1.sz.m-önk.össze.bev'!AJ55-'1 .sz.m.önk.össz.kiad.'!AJ29</f>
        <v>-6877</v>
      </c>
      <c r="AK41" s="266"/>
    </row>
    <row r="42" spans="1:29" ht="15.75">
      <c r="A42" s="124"/>
      <c r="B42" s="64"/>
      <c r="C42" s="245"/>
      <c r="D42" s="245"/>
      <c r="E42" s="249"/>
      <c r="F42" s="249"/>
      <c r="G42" s="249"/>
      <c r="H42" s="249"/>
      <c r="I42" s="249"/>
      <c r="J42" s="249"/>
      <c r="K42" s="249"/>
      <c r="L42" s="249"/>
      <c r="M42" s="246"/>
      <c r="N42" s="246"/>
      <c r="O42" s="246"/>
      <c r="P42" s="246"/>
      <c r="Q42" s="246"/>
      <c r="R42" s="246"/>
      <c r="S42" s="246"/>
      <c r="T42" s="246"/>
      <c r="U42" s="246"/>
      <c r="V42" s="247">
        <v>0</v>
      </c>
      <c r="W42" s="247"/>
      <c r="X42" s="247"/>
      <c r="Y42" s="247"/>
      <c r="Z42" s="247"/>
      <c r="AA42" s="247"/>
      <c r="AB42" s="247"/>
      <c r="AC42" s="247"/>
    </row>
    <row r="43" spans="1:29" ht="15.75" customHeight="1">
      <c r="A43" s="124"/>
      <c r="B43" s="64"/>
      <c r="C43" s="1158" t="s">
        <v>161</v>
      </c>
      <c r="D43" s="1158"/>
      <c r="E43" s="1158"/>
      <c r="F43" s="1158"/>
      <c r="G43" s="1158"/>
      <c r="H43" s="1158"/>
      <c r="I43" s="1158"/>
      <c r="J43" s="1158"/>
      <c r="K43" s="1158"/>
      <c r="L43" s="1158"/>
      <c r="M43" s="1158"/>
      <c r="N43" s="1158"/>
      <c r="O43" s="1158"/>
      <c r="P43" s="1158"/>
      <c r="Q43" s="1158"/>
      <c r="R43" s="1158"/>
      <c r="S43" s="1158"/>
      <c r="T43" s="1158"/>
      <c r="U43" s="1158"/>
      <c r="V43" s="1158"/>
      <c r="W43" s="312"/>
      <c r="X43" s="312"/>
      <c r="Y43" s="312"/>
      <c r="Z43" s="312"/>
      <c r="AA43" s="312"/>
      <c r="AB43" s="312"/>
      <c r="AC43" s="312"/>
    </row>
    <row r="44" spans="1:29" ht="16.5" thickBot="1">
      <c r="A44" s="267" t="s">
        <v>162</v>
      </c>
      <c r="B44" s="64"/>
      <c r="C44" s="1173"/>
      <c r="D44" s="1173"/>
      <c r="E44" s="245"/>
      <c r="F44" s="245"/>
      <c r="G44" s="245"/>
      <c r="H44" s="245"/>
      <c r="I44" s="245"/>
      <c r="J44" s="245"/>
      <c r="K44" s="245"/>
      <c r="L44" s="245"/>
      <c r="M44" s="246"/>
      <c r="N44" s="246"/>
      <c r="O44" s="246"/>
      <c r="P44" s="246"/>
      <c r="Q44" s="246"/>
      <c r="R44" s="246"/>
      <c r="S44" s="246"/>
      <c r="T44" s="246"/>
      <c r="U44" s="246"/>
      <c r="V44" s="247">
        <v>0</v>
      </c>
      <c r="W44" s="247"/>
      <c r="X44" s="247"/>
      <c r="Y44" s="247"/>
      <c r="Z44" s="247"/>
      <c r="AA44" s="247"/>
      <c r="AB44" s="247"/>
      <c r="AC44" s="247"/>
    </row>
    <row r="45" spans="1:37" ht="27.75" customHeight="1">
      <c r="A45" s="261" t="s">
        <v>30</v>
      </c>
      <c r="B45" s="1136" t="s">
        <v>557</v>
      </c>
      <c r="C45" s="1137"/>
      <c r="D45" s="1138"/>
      <c r="E45" s="281">
        <f>'1.sz.m-önk.össze.bev'!E59</f>
        <v>84445</v>
      </c>
      <c r="F45" s="281">
        <f>'1.sz.m-önk.össze.bev'!F59</f>
        <v>84445</v>
      </c>
      <c r="G45" s="281">
        <f>'1.sz.m-önk.össze.bev'!G59</f>
        <v>84445</v>
      </c>
      <c r="H45" s="281">
        <f>'1.sz.m-önk.össze.bev'!H59</f>
        <v>84445</v>
      </c>
      <c r="I45" s="281">
        <f>'1.sz.m-önk.össze.bev'!I59</f>
        <v>96606</v>
      </c>
      <c r="J45" s="281">
        <f>'1.sz.m-önk.össze.bev'!J59</f>
        <v>95789</v>
      </c>
      <c r="K45" s="281">
        <f>'1.sz.m-önk.össze.bev'!K59</f>
        <v>95789</v>
      </c>
      <c r="L45" s="281"/>
      <c r="M45" s="281">
        <f>'1.sz.m-önk.össze.bev'!M59</f>
        <v>84445</v>
      </c>
      <c r="N45" s="281">
        <f>'1.sz.m-önk.össze.bev'!N59</f>
        <v>84445</v>
      </c>
      <c r="O45" s="281">
        <f>'1.sz.m-önk.össze.bev'!O59</f>
        <v>84445</v>
      </c>
      <c r="P45" s="281">
        <f>'1.sz.m-önk.össze.bev'!P59</f>
        <v>84445</v>
      </c>
      <c r="Q45" s="281">
        <f>'1.sz.m-önk.össze.bev'!Q59</f>
        <v>0</v>
      </c>
      <c r="R45" s="281">
        <f>'1.sz.m-önk.össze.bev'!R59</f>
        <v>96606</v>
      </c>
      <c r="S45" s="281">
        <f>'1.sz.m-önk.össze.bev'!S59</f>
        <v>95789</v>
      </c>
      <c r="T45" s="281">
        <f>'1.sz.m-önk.össze.bev'!T59</f>
        <v>95789</v>
      </c>
      <c r="U45" s="281"/>
      <c r="V45" s="281">
        <f>'1.sz.m-önk.össze.bev'!V59</f>
        <v>0</v>
      </c>
      <c r="W45" s="281">
        <f>'1.sz.m-önk.össze.bev'!W59</f>
        <v>0</v>
      </c>
      <c r="X45" s="281">
        <f>'1.sz.m-önk.össze.bev'!X59</f>
        <v>0</v>
      </c>
      <c r="Y45" s="281">
        <f>'1.sz.m-önk.össze.bev'!Y59</f>
        <v>0</v>
      </c>
      <c r="Z45" s="281">
        <f>'1.sz.m-önk.össze.bev'!Z59</f>
        <v>0</v>
      </c>
      <c r="AA45" s="281">
        <f>'1.sz.m-önk.össze.bev'!AA59</f>
        <v>0</v>
      </c>
      <c r="AB45" s="281">
        <f>'1.sz.m-önk.össze.bev'!AB59</f>
        <v>0</v>
      </c>
      <c r="AC45" s="281">
        <f>'1.sz.m-önk.össze.bev'!AC59</f>
        <v>0</v>
      </c>
      <c r="AD45" s="281">
        <f>'1.sz.m-önk.össze.bev'!AD59</f>
        <v>0</v>
      </c>
      <c r="AE45" s="281">
        <f>'1.sz.m-önk.össze.bev'!AE59</f>
        <v>0</v>
      </c>
      <c r="AF45" s="281">
        <f>'1.sz.m-önk.össze.bev'!AF59</f>
        <v>0</v>
      </c>
      <c r="AG45" s="281">
        <f>'1.sz.m-önk.össze.bev'!AG59</f>
        <v>0</v>
      </c>
      <c r="AH45" s="281">
        <f>'1.sz.m-önk.össze.bev'!AH59</f>
        <v>0</v>
      </c>
      <c r="AI45" s="281">
        <f>'1.sz.m-önk.össze.bev'!AI59</f>
        <v>0</v>
      </c>
      <c r="AJ45" s="281">
        <f>'1.sz.m-önk.össze.bev'!AJ59</f>
        <v>0</v>
      </c>
      <c r="AK45" s="281">
        <f>'1.sz.m-önk.össze.bev'!AK59</f>
        <v>0</v>
      </c>
    </row>
    <row r="46" spans="1:37" ht="27.75" customHeight="1">
      <c r="A46" s="262" t="s">
        <v>31</v>
      </c>
      <c r="B46" s="1152" t="s">
        <v>558</v>
      </c>
      <c r="C46" s="1153"/>
      <c r="D46" s="1154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2"/>
      <c r="AK46" s="282"/>
    </row>
    <row r="47" spans="1:37" ht="27.75" customHeight="1" thickBot="1">
      <c r="A47" s="263" t="s">
        <v>10</v>
      </c>
      <c r="B47" s="1155" t="s">
        <v>559</v>
      </c>
      <c r="C47" s="1156"/>
      <c r="D47" s="1157"/>
      <c r="E47" s="280">
        <f aca="true" t="shared" si="19" ref="E47:J47">E45+E46</f>
        <v>84445</v>
      </c>
      <c r="F47" s="280">
        <f t="shared" si="19"/>
        <v>84445</v>
      </c>
      <c r="G47" s="280">
        <f t="shared" si="19"/>
        <v>84445</v>
      </c>
      <c r="H47" s="280">
        <f t="shared" si="19"/>
        <v>84445</v>
      </c>
      <c r="I47" s="280">
        <f t="shared" si="19"/>
        <v>96606</v>
      </c>
      <c r="J47" s="280">
        <f t="shared" si="19"/>
        <v>95789</v>
      </c>
      <c r="K47" s="280">
        <f aca="true" t="shared" si="20" ref="K47:AK47">K45+K46</f>
        <v>95789</v>
      </c>
      <c r="L47" s="280"/>
      <c r="M47" s="280">
        <f t="shared" si="20"/>
        <v>84445</v>
      </c>
      <c r="N47" s="280">
        <f t="shared" si="20"/>
        <v>84445</v>
      </c>
      <c r="O47" s="280">
        <f t="shared" si="20"/>
        <v>84445</v>
      </c>
      <c r="P47" s="280">
        <f t="shared" si="20"/>
        <v>84445</v>
      </c>
      <c r="Q47" s="280">
        <f t="shared" si="20"/>
        <v>0</v>
      </c>
      <c r="R47" s="280">
        <f t="shared" si="20"/>
        <v>96606</v>
      </c>
      <c r="S47" s="280">
        <f t="shared" si="20"/>
        <v>95789</v>
      </c>
      <c r="T47" s="280">
        <f t="shared" si="20"/>
        <v>95789</v>
      </c>
      <c r="U47" s="280"/>
      <c r="V47" s="280">
        <f t="shared" si="20"/>
        <v>0</v>
      </c>
      <c r="W47" s="280">
        <f t="shared" si="20"/>
        <v>0</v>
      </c>
      <c r="X47" s="280">
        <f t="shared" si="20"/>
        <v>0</v>
      </c>
      <c r="Y47" s="280">
        <f t="shared" si="20"/>
        <v>0</v>
      </c>
      <c r="Z47" s="280">
        <f t="shared" si="20"/>
        <v>0</v>
      </c>
      <c r="AA47" s="280">
        <f t="shared" si="20"/>
        <v>0</v>
      </c>
      <c r="AB47" s="280">
        <f t="shared" si="20"/>
        <v>0</v>
      </c>
      <c r="AC47" s="280">
        <f t="shared" si="20"/>
        <v>0</v>
      </c>
      <c r="AD47" s="280">
        <f t="shared" si="20"/>
        <v>0</v>
      </c>
      <c r="AE47" s="280">
        <f t="shared" si="20"/>
        <v>0</v>
      </c>
      <c r="AF47" s="280">
        <f t="shared" si="20"/>
        <v>0</v>
      </c>
      <c r="AG47" s="280">
        <f t="shared" si="20"/>
        <v>0</v>
      </c>
      <c r="AH47" s="280">
        <f t="shared" si="20"/>
        <v>0</v>
      </c>
      <c r="AI47" s="280">
        <f t="shared" si="20"/>
        <v>0</v>
      </c>
      <c r="AJ47" s="280">
        <f t="shared" si="20"/>
        <v>0</v>
      </c>
      <c r="AK47" s="280">
        <f t="shared" si="20"/>
        <v>0</v>
      </c>
    </row>
    <row r="48" spans="1:30" ht="15.75">
      <c r="A48" s="124"/>
      <c r="B48" s="64"/>
      <c r="C48" s="250"/>
      <c r="D48" s="251"/>
      <c r="E48" s="252"/>
      <c r="F48" s="252"/>
      <c r="G48" s="252"/>
      <c r="H48" s="252"/>
      <c r="I48" s="252"/>
      <c r="J48" s="252"/>
      <c r="K48" s="252"/>
      <c r="L48" s="252"/>
      <c r="M48" s="246"/>
      <c r="N48" s="246"/>
      <c r="O48" s="246"/>
      <c r="P48" s="246"/>
      <c r="Q48" s="246"/>
      <c r="R48" s="246"/>
      <c r="S48" s="246"/>
      <c r="T48" s="246"/>
      <c r="U48" s="246"/>
      <c r="V48" s="247"/>
      <c r="W48" s="247"/>
      <c r="X48" s="247"/>
      <c r="Y48" s="247"/>
      <c r="Z48" s="247"/>
      <c r="AA48" s="247"/>
      <c r="AB48" s="247"/>
      <c r="AC48" s="247"/>
      <c r="AD48" s="1"/>
    </row>
    <row r="49" spans="1:29" ht="15.75" customHeight="1">
      <c r="A49" s="124"/>
      <c r="B49" s="64"/>
      <c r="C49" s="1158" t="s">
        <v>163</v>
      </c>
      <c r="D49" s="1158"/>
      <c r="E49" s="1158"/>
      <c r="F49" s="1158"/>
      <c r="G49" s="1158"/>
      <c r="H49" s="1158"/>
      <c r="I49" s="1158"/>
      <c r="J49" s="1158"/>
      <c r="K49" s="1158"/>
      <c r="L49" s="1158"/>
      <c r="M49" s="1158"/>
      <c r="N49" s="1158"/>
      <c r="O49" s="1158"/>
      <c r="P49" s="1158"/>
      <c r="Q49" s="1158"/>
      <c r="R49" s="1158"/>
      <c r="S49" s="1158"/>
      <c r="T49" s="1158"/>
      <c r="U49" s="1158"/>
      <c r="V49" s="1158"/>
      <c r="W49" s="312"/>
      <c r="X49" s="312"/>
      <c r="Y49" s="312"/>
      <c r="Z49" s="312"/>
      <c r="AA49" s="312"/>
      <c r="AB49" s="312"/>
      <c r="AC49" s="312"/>
    </row>
    <row r="50" spans="1:29" ht="16.5" thickBot="1">
      <c r="A50" s="267" t="s">
        <v>164</v>
      </c>
      <c r="B50" s="267"/>
      <c r="C50" s="1151"/>
      <c r="D50" s="1151"/>
      <c r="E50" s="245"/>
      <c r="F50" s="245"/>
      <c r="G50" s="245"/>
      <c r="H50" s="245"/>
      <c r="I50" s="245"/>
      <c r="J50" s="245"/>
      <c r="K50" s="245"/>
      <c r="L50" s="245"/>
      <c r="M50" s="246"/>
      <c r="N50" s="246"/>
      <c r="O50" s="246"/>
      <c r="P50" s="246"/>
      <c r="Q50" s="246"/>
      <c r="R50" s="246"/>
      <c r="S50" s="246"/>
      <c r="T50" s="246"/>
      <c r="U50" s="246"/>
      <c r="V50" s="247">
        <v>0</v>
      </c>
      <c r="W50" s="247"/>
      <c r="X50" s="247"/>
      <c r="Y50" s="247"/>
      <c r="Z50" s="247"/>
      <c r="AA50" s="247"/>
      <c r="AB50" s="247"/>
      <c r="AC50" s="247"/>
    </row>
    <row r="51" spans="1:38" ht="27.75" customHeight="1">
      <c r="A51" s="261" t="s">
        <v>30</v>
      </c>
      <c r="B51" s="1136" t="s">
        <v>560</v>
      </c>
      <c r="C51" s="1137"/>
      <c r="D51" s="1138"/>
      <c r="E51" s="268">
        <v>0</v>
      </c>
      <c r="F51" s="268">
        <v>0</v>
      </c>
      <c r="G51" s="268">
        <v>0</v>
      </c>
      <c r="H51" s="268">
        <v>0</v>
      </c>
      <c r="I51" s="268">
        <v>0</v>
      </c>
      <c r="J51" s="268">
        <v>0</v>
      </c>
      <c r="K51" s="268">
        <v>0</v>
      </c>
      <c r="L51" s="268"/>
      <c r="M51" s="268">
        <v>0</v>
      </c>
      <c r="N51" s="268">
        <v>0</v>
      </c>
      <c r="O51" s="268">
        <v>0</v>
      </c>
      <c r="P51" s="268">
        <v>0</v>
      </c>
      <c r="Q51" s="268">
        <v>0</v>
      </c>
      <c r="R51" s="268">
        <v>0</v>
      </c>
      <c r="S51" s="268">
        <v>0</v>
      </c>
      <c r="T51" s="268">
        <v>0</v>
      </c>
      <c r="U51" s="268"/>
      <c r="V51" s="268">
        <v>0</v>
      </c>
      <c r="W51" s="268">
        <v>0</v>
      </c>
      <c r="X51" s="268">
        <v>0</v>
      </c>
      <c r="Y51" s="268">
        <v>0</v>
      </c>
      <c r="Z51" s="268">
        <v>0</v>
      </c>
      <c r="AA51" s="268">
        <v>0</v>
      </c>
      <c r="AB51" s="268">
        <v>0</v>
      </c>
      <c r="AC51" s="268">
        <v>0</v>
      </c>
      <c r="AD51" s="268">
        <v>0</v>
      </c>
      <c r="AE51" s="268">
        <v>0</v>
      </c>
      <c r="AF51" s="268">
        <v>0</v>
      </c>
      <c r="AG51" s="268">
        <v>0</v>
      </c>
      <c r="AH51" s="268">
        <v>0</v>
      </c>
      <c r="AI51" s="268">
        <v>0</v>
      </c>
      <c r="AJ51" s="268">
        <v>0</v>
      </c>
      <c r="AK51" s="268"/>
      <c r="AL51" s="268">
        <v>0</v>
      </c>
    </row>
    <row r="52" spans="1:38" ht="27.75" customHeight="1">
      <c r="A52" s="262" t="s">
        <v>31</v>
      </c>
      <c r="B52" s="1152" t="s">
        <v>561</v>
      </c>
      <c r="C52" s="1153"/>
      <c r="D52" s="1154"/>
      <c r="E52" s="269">
        <f>'1.sz.m-önk.össze.bev'!E57</f>
        <v>32367</v>
      </c>
      <c r="F52" s="269">
        <f>'1.sz.m-önk.össze.bev'!F57</f>
        <v>32367</v>
      </c>
      <c r="G52" s="269">
        <f>'1.sz.m-önk.össze.bev'!G57</f>
        <v>32342</v>
      </c>
      <c r="H52" s="269">
        <f>'1.sz.m-önk.össze.bev'!H57</f>
        <v>32342</v>
      </c>
      <c r="I52" s="269">
        <f>'1.sz.m-önk.össze.bev'!I57</f>
        <v>32342</v>
      </c>
      <c r="J52" s="269">
        <f>'1.sz.m-önk.össze.bev'!J57</f>
        <v>0</v>
      </c>
      <c r="K52" s="269">
        <f>'1.sz.m-önk.össze.bev'!K57</f>
        <v>0</v>
      </c>
      <c r="L52" s="269"/>
      <c r="M52" s="269">
        <f>'1.sz.m-önk.össze.bev'!M57</f>
        <v>32367</v>
      </c>
      <c r="N52" s="269">
        <f>'1.sz.m-önk.össze.bev'!N57</f>
        <v>32367</v>
      </c>
      <c r="O52" s="269">
        <f>'1.sz.m-önk.össze.bev'!O57</f>
        <v>32342</v>
      </c>
      <c r="P52" s="269">
        <f>'1.sz.m-önk.össze.bev'!P57</f>
        <v>32342</v>
      </c>
      <c r="Q52" s="269">
        <f>'1.sz.m-önk.össze.bev'!Q57</f>
        <v>0</v>
      </c>
      <c r="R52" s="269">
        <f>'1.sz.m-önk.össze.bev'!R57</f>
        <v>32342</v>
      </c>
      <c r="S52" s="269">
        <f>'1.sz.m-önk.össze.bev'!S57</f>
        <v>0</v>
      </c>
      <c r="T52" s="269">
        <f>'1.sz.m-önk.össze.bev'!T57</f>
        <v>0</v>
      </c>
      <c r="U52" s="269"/>
      <c r="V52" s="269">
        <f>'1.sz.m-önk.össze.bev'!V57</f>
        <v>0</v>
      </c>
      <c r="W52" s="269">
        <f>'1.sz.m-önk.össze.bev'!W57</f>
        <v>0</v>
      </c>
      <c r="X52" s="269">
        <f>'1.sz.m-önk.össze.bev'!X57</f>
        <v>0</v>
      </c>
      <c r="Y52" s="269">
        <f>'1.sz.m-önk.össze.bev'!Y57</f>
        <v>0</v>
      </c>
      <c r="Z52" s="269">
        <f>'1.sz.m-önk.össze.bev'!Z57</f>
        <v>0</v>
      </c>
      <c r="AA52" s="269">
        <f>'1.sz.m-önk.össze.bev'!AA57</f>
        <v>0</v>
      </c>
      <c r="AB52" s="269">
        <f>'1.sz.m-önk.össze.bev'!AB57</f>
        <v>0</v>
      </c>
      <c r="AC52" s="269">
        <f>'1.sz.m-önk.össze.bev'!AC57</f>
        <v>0</v>
      </c>
      <c r="AD52" s="269">
        <f>'1.sz.m-önk.össze.bev'!AD57</f>
        <v>0</v>
      </c>
      <c r="AE52" s="269">
        <f>'1.sz.m-önk.össze.bev'!AE57</f>
        <v>0</v>
      </c>
      <c r="AF52" s="269">
        <f>'1.sz.m-önk.össze.bev'!AF57</f>
        <v>0</v>
      </c>
      <c r="AG52" s="269">
        <f>'1.sz.m-önk.össze.bev'!AG57</f>
        <v>0</v>
      </c>
      <c r="AH52" s="269">
        <f>'1.sz.m-önk.össze.bev'!AH57</f>
        <v>0</v>
      </c>
      <c r="AI52" s="269">
        <f>'1.sz.m-önk.össze.bev'!AI57</f>
        <v>0</v>
      </c>
      <c r="AJ52" s="269">
        <f>'1.sz.m-önk.össze.bev'!AJ57</f>
        <v>0</v>
      </c>
      <c r="AK52" s="269"/>
      <c r="AL52" s="269">
        <f>'1.sz.m-önk.össze.bev'!AI57</f>
        <v>0</v>
      </c>
    </row>
    <row r="53" spans="1:38" ht="27.75" customHeight="1" thickBot="1">
      <c r="A53" s="263" t="s">
        <v>10</v>
      </c>
      <c r="B53" s="1162" t="s">
        <v>562</v>
      </c>
      <c r="C53" s="1163"/>
      <c r="D53" s="1164"/>
      <c r="E53" s="270">
        <f aca="true" t="shared" si="21" ref="E53:J53">E51+E52</f>
        <v>32367</v>
      </c>
      <c r="F53" s="270">
        <f t="shared" si="21"/>
        <v>32367</v>
      </c>
      <c r="G53" s="270">
        <f t="shared" si="21"/>
        <v>32342</v>
      </c>
      <c r="H53" s="270">
        <f t="shared" si="21"/>
        <v>32342</v>
      </c>
      <c r="I53" s="270">
        <f t="shared" si="21"/>
        <v>32342</v>
      </c>
      <c r="J53" s="270">
        <f t="shared" si="21"/>
        <v>0</v>
      </c>
      <c r="K53" s="270">
        <f aca="true" t="shared" si="22" ref="K53:AJ53">K51+K52</f>
        <v>0</v>
      </c>
      <c r="L53" s="270"/>
      <c r="M53" s="270">
        <f t="shared" si="22"/>
        <v>32367</v>
      </c>
      <c r="N53" s="270">
        <f t="shared" si="22"/>
        <v>32367</v>
      </c>
      <c r="O53" s="270">
        <f t="shared" si="22"/>
        <v>32342</v>
      </c>
      <c r="P53" s="270">
        <f t="shared" si="22"/>
        <v>32342</v>
      </c>
      <c r="Q53" s="270">
        <f t="shared" si="22"/>
        <v>0</v>
      </c>
      <c r="R53" s="270">
        <f t="shared" si="22"/>
        <v>32342</v>
      </c>
      <c r="S53" s="270">
        <f t="shared" si="22"/>
        <v>0</v>
      </c>
      <c r="T53" s="270">
        <f t="shared" si="22"/>
        <v>0</v>
      </c>
      <c r="U53" s="270"/>
      <c r="V53" s="270">
        <f t="shared" si="22"/>
        <v>0</v>
      </c>
      <c r="W53" s="270">
        <f t="shared" si="22"/>
        <v>0</v>
      </c>
      <c r="X53" s="270">
        <f t="shared" si="22"/>
        <v>0</v>
      </c>
      <c r="Y53" s="270">
        <f t="shared" si="22"/>
        <v>0</v>
      </c>
      <c r="Z53" s="270">
        <f t="shared" si="22"/>
        <v>0</v>
      </c>
      <c r="AA53" s="270">
        <f t="shared" si="22"/>
        <v>0</v>
      </c>
      <c r="AB53" s="270">
        <f t="shared" si="22"/>
        <v>0</v>
      </c>
      <c r="AC53" s="270">
        <f t="shared" si="22"/>
        <v>0</v>
      </c>
      <c r="AD53" s="270">
        <f t="shared" si="22"/>
        <v>0</v>
      </c>
      <c r="AE53" s="270">
        <f t="shared" si="22"/>
        <v>0</v>
      </c>
      <c r="AF53" s="270">
        <f t="shared" si="22"/>
        <v>0</v>
      </c>
      <c r="AG53" s="270">
        <f t="shared" si="22"/>
        <v>0</v>
      </c>
      <c r="AH53" s="270">
        <f t="shared" si="22"/>
        <v>0</v>
      </c>
      <c r="AI53" s="270">
        <f t="shared" si="22"/>
        <v>0</v>
      </c>
      <c r="AJ53" s="270">
        <f t="shared" si="22"/>
        <v>0</v>
      </c>
      <c r="AK53" s="270"/>
      <c r="AL53" s="270">
        <f>AL51+AL52</f>
        <v>0</v>
      </c>
    </row>
    <row r="54" spans="1:34" ht="15.75">
      <c r="A54" s="124"/>
      <c r="B54" s="64"/>
      <c r="C54" s="250"/>
      <c r="D54" s="251"/>
      <c r="E54" s="252"/>
      <c r="F54" s="252"/>
      <c r="G54" s="252"/>
      <c r="H54" s="252"/>
      <c r="I54" s="252"/>
      <c r="J54" s="252"/>
      <c r="K54" s="252"/>
      <c r="L54" s="252"/>
      <c r="M54" s="246"/>
      <c r="N54" s="246"/>
      <c r="O54" s="246"/>
      <c r="P54" s="246"/>
      <c r="Q54" s="246"/>
      <c r="R54" s="246"/>
      <c r="S54" s="246"/>
      <c r="T54" s="246"/>
      <c r="U54" s="246"/>
      <c r="V54" s="247"/>
      <c r="W54" s="247"/>
      <c r="X54" s="247"/>
      <c r="Y54" s="247"/>
      <c r="Z54" s="247"/>
      <c r="AA54" s="247"/>
      <c r="AB54" s="247"/>
      <c r="AC54" s="247"/>
      <c r="AH54" s="81"/>
    </row>
    <row r="55" spans="1:30" ht="15.75" customHeight="1">
      <c r="A55" s="124"/>
      <c r="B55" s="64"/>
      <c r="C55" s="1168" t="s">
        <v>58</v>
      </c>
      <c r="D55" s="1168"/>
      <c r="E55" s="1168"/>
      <c r="F55" s="1168"/>
      <c r="G55" s="1168"/>
      <c r="H55" s="1168"/>
      <c r="I55" s="1168"/>
      <c r="J55" s="1168"/>
      <c r="K55" s="1168"/>
      <c r="L55" s="1168"/>
      <c r="M55" s="1168"/>
      <c r="N55" s="1168"/>
      <c r="O55" s="1168"/>
      <c r="P55" s="1168"/>
      <c r="Q55" s="1168"/>
      <c r="R55" s="1168"/>
      <c r="S55" s="1168"/>
      <c r="T55" s="1168"/>
      <c r="U55" s="1168"/>
      <c r="V55" s="1158"/>
      <c r="W55" s="312"/>
      <c r="X55" s="312"/>
      <c r="Y55" s="312"/>
      <c r="Z55" s="312"/>
      <c r="AA55" s="312"/>
      <c r="AB55" s="312"/>
      <c r="AC55" s="312"/>
      <c r="AD55" s="140"/>
    </row>
    <row r="56" spans="1:29" ht="15.75">
      <c r="A56" s="124"/>
      <c r="B56" s="64"/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4"/>
      <c r="N56" s="254"/>
      <c r="O56" s="254"/>
      <c r="P56" s="254"/>
      <c r="Q56" s="254"/>
      <c r="R56" s="254"/>
      <c r="S56" s="254"/>
      <c r="T56" s="254"/>
      <c r="U56" s="254"/>
      <c r="V56" s="255"/>
      <c r="W56" s="255"/>
      <c r="X56" s="255"/>
      <c r="Y56" s="255"/>
      <c r="Z56" s="255"/>
      <c r="AA56" s="255"/>
      <c r="AB56" s="255"/>
      <c r="AC56" s="255"/>
    </row>
    <row r="57" spans="1:29" ht="16.5" thickBot="1">
      <c r="A57" s="267" t="s">
        <v>206</v>
      </c>
      <c r="C57" s="1169"/>
      <c r="D57" s="1169"/>
      <c r="E57" s="253"/>
      <c r="F57" s="253"/>
      <c r="G57" s="253"/>
      <c r="H57" s="253"/>
      <c r="I57" s="253"/>
      <c r="J57" s="253"/>
      <c r="K57" s="253"/>
      <c r="L57" s="253"/>
      <c r="M57" s="254"/>
      <c r="N57" s="254"/>
      <c r="O57" s="254"/>
      <c r="P57" s="254"/>
      <c r="Q57" s="254"/>
      <c r="R57" s="254"/>
      <c r="S57" s="254"/>
      <c r="T57" s="254"/>
      <c r="U57" s="254"/>
      <c r="V57" s="255"/>
      <c r="W57" s="255"/>
      <c r="X57" s="255"/>
      <c r="Y57" s="255"/>
      <c r="Z57" s="255"/>
      <c r="AA57" s="255"/>
      <c r="AB57" s="255"/>
      <c r="AC57" s="255"/>
    </row>
    <row r="58" spans="1:37" ht="27" customHeight="1">
      <c r="A58" s="274" t="s">
        <v>30</v>
      </c>
      <c r="B58" s="1165" t="s">
        <v>165</v>
      </c>
      <c r="C58" s="1165"/>
      <c r="D58" s="1165"/>
      <c r="E58" s="275">
        <f>E59-E62</f>
        <v>116812</v>
      </c>
      <c r="F58" s="275">
        <f>F59-F62</f>
        <v>107878</v>
      </c>
      <c r="G58" s="275">
        <f>G59-G62</f>
        <v>107853</v>
      </c>
      <c r="H58" s="275">
        <f>H59-H62</f>
        <v>107853</v>
      </c>
      <c r="I58" s="275">
        <f>I59-I62</f>
        <v>120014</v>
      </c>
      <c r="J58" s="275">
        <f aca="true" t="shared" si="23" ref="J58:O58">J59-J62</f>
        <v>95819</v>
      </c>
      <c r="K58" s="275">
        <f t="shared" si="23"/>
        <v>95819</v>
      </c>
      <c r="L58" s="275"/>
      <c r="M58" s="275">
        <f t="shared" si="23"/>
        <v>116812</v>
      </c>
      <c r="N58" s="275">
        <f t="shared" si="23"/>
        <v>107878</v>
      </c>
      <c r="O58" s="275">
        <f t="shared" si="23"/>
        <v>107853</v>
      </c>
      <c r="P58" s="275">
        <f aca="true" t="shared" si="24" ref="P58:AJ58">P59-P62</f>
        <v>107853</v>
      </c>
      <c r="Q58" s="275">
        <f t="shared" si="24"/>
        <v>0</v>
      </c>
      <c r="R58" s="275">
        <f t="shared" si="24"/>
        <v>120014</v>
      </c>
      <c r="S58" s="275">
        <f t="shared" si="24"/>
        <v>95819</v>
      </c>
      <c r="T58" s="275">
        <f t="shared" si="24"/>
        <v>95819</v>
      </c>
      <c r="U58" s="275"/>
      <c r="V58" s="275">
        <f t="shared" si="24"/>
        <v>0</v>
      </c>
      <c r="W58" s="275">
        <f t="shared" si="24"/>
        <v>0</v>
      </c>
      <c r="X58" s="275">
        <f t="shared" si="24"/>
        <v>0</v>
      </c>
      <c r="Y58" s="275">
        <f t="shared" si="24"/>
        <v>0</v>
      </c>
      <c r="Z58" s="275">
        <f t="shared" si="24"/>
        <v>0</v>
      </c>
      <c r="AA58" s="275">
        <f t="shared" si="24"/>
        <v>0</v>
      </c>
      <c r="AB58" s="275">
        <f t="shared" si="24"/>
        <v>0</v>
      </c>
      <c r="AC58" s="275">
        <f t="shared" si="24"/>
        <v>0</v>
      </c>
      <c r="AD58" s="275">
        <f t="shared" si="24"/>
        <v>0</v>
      </c>
      <c r="AE58" s="275">
        <f t="shared" si="24"/>
        <v>0</v>
      </c>
      <c r="AF58" s="275">
        <f t="shared" si="24"/>
        <v>0</v>
      </c>
      <c r="AG58" s="275">
        <f t="shared" si="24"/>
        <v>0</v>
      </c>
      <c r="AH58" s="275">
        <f t="shared" si="24"/>
        <v>0</v>
      </c>
      <c r="AI58" s="275">
        <f t="shared" si="24"/>
        <v>0</v>
      </c>
      <c r="AJ58" s="275">
        <f t="shared" si="24"/>
        <v>0</v>
      </c>
      <c r="AK58" s="275"/>
    </row>
    <row r="59" spans="1:37" ht="27" customHeight="1">
      <c r="A59" s="271" t="s">
        <v>166</v>
      </c>
      <c r="B59" s="1166" t="s">
        <v>167</v>
      </c>
      <c r="C59" s="1166"/>
      <c r="D59" s="1166"/>
      <c r="E59" s="276">
        <f>'1.sz.m-önk.össze.bev'!E56</f>
        <v>116812</v>
      </c>
      <c r="F59" s="276">
        <f>'1.sz.m-önk.össze.bev'!F56</f>
        <v>116812</v>
      </c>
      <c r="G59" s="276">
        <f>'1.sz.m-önk.össze.bev'!G56</f>
        <v>116787</v>
      </c>
      <c r="H59" s="276">
        <f>'1.sz.m-önk.össze.bev'!H56</f>
        <v>116787</v>
      </c>
      <c r="I59" s="276">
        <f>'1.sz.m-önk.össze.bev'!I56</f>
        <v>128948</v>
      </c>
      <c r="J59" s="276">
        <f>'1.sz.m-önk.össze.bev'!J56</f>
        <v>104753</v>
      </c>
      <c r="K59" s="276">
        <f>'1.sz.m-önk.össze.bev'!K56</f>
        <v>104753</v>
      </c>
      <c r="L59" s="276"/>
      <c r="M59" s="276">
        <f>'1.sz.m-önk.össze.bev'!M56</f>
        <v>116812</v>
      </c>
      <c r="N59" s="276">
        <f>'1.sz.m-önk.össze.bev'!N56</f>
        <v>116812</v>
      </c>
      <c r="O59" s="276">
        <f>'1.sz.m-önk.össze.bev'!O56</f>
        <v>116787</v>
      </c>
      <c r="P59" s="276">
        <f>'1.sz.m-önk.össze.bev'!P56</f>
        <v>116787</v>
      </c>
      <c r="Q59" s="276">
        <f>'1.sz.m-önk.össze.bev'!Q56</f>
        <v>0</v>
      </c>
      <c r="R59" s="276">
        <f>'1.sz.m-önk.össze.bev'!R56</f>
        <v>128948</v>
      </c>
      <c r="S59" s="276">
        <f>'1.sz.m-önk.össze.bev'!S56</f>
        <v>104753</v>
      </c>
      <c r="T59" s="276">
        <f>'1.sz.m-önk.össze.bev'!T56</f>
        <v>104753</v>
      </c>
      <c r="U59" s="276"/>
      <c r="V59" s="276">
        <f>'1.sz.m-önk.össze.bev'!V56</f>
        <v>0</v>
      </c>
      <c r="W59" s="276">
        <f>'1.sz.m-önk.össze.bev'!W56</f>
        <v>0</v>
      </c>
      <c r="X59" s="276">
        <f>'1.sz.m-önk.össze.bev'!X56</f>
        <v>0</v>
      </c>
      <c r="Y59" s="276">
        <f>'1.sz.m-önk.össze.bev'!Y56</f>
        <v>0</v>
      </c>
      <c r="Z59" s="276">
        <f>'1.sz.m-önk.össze.bev'!Z56</f>
        <v>0</v>
      </c>
      <c r="AA59" s="276">
        <f>'1.sz.m-önk.össze.bev'!AA56</f>
        <v>0</v>
      </c>
      <c r="AB59" s="276">
        <f>'1.sz.m-önk.össze.bev'!AB56</f>
        <v>0</v>
      </c>
      <c r="AC59" s="276">
        <f>'1.sz.m-önk.össze.bev'!AC56</f>
        <v>0</v>
      </c>
      <c r="AD59" s="276">
        <f>'1.sz.m-önk.össze.bev'!AD56</f>
        <v>0</v>
      </c>
      <c r="AE59" s="276">
        <f>'1.sz.m-önk.össze.bev'!AE56</f>
        <v>0</v>
      </c>
      <c r="AF59" s="276">
        <f>'1.sz.m-önk.össze.bev'!AF56</f>
        <v>0</v>
      </c>
      <c r="AG59" s="276">
        <f>'1.sz.m-önk.össze.bev'!AG56</f>
        <v>0</v>
      </c>
      <c r="AH59" s="276">
        <f>'1.sz.m-önk.össze.bev'!AH56</f>
        <v>0</v>
      </c>
      <c r="AI59" s="276">
        <f>'1.sz.m-önk.össze.bev'!AI56</f>
        <v>0</v>
      </c>
      <c r="AJ59" s="276">
        <f>'1.sz.m-önk.össze.bev'!AJ56</f>
        <v>0</v>
      </c>
      <c r="AK59" s="276"/>
    </row>
    <row r="60" spans="1:37" ht="27" customHeight="1">
      <c r="A60" s="271" t="s">
        <v>168</v>
      </c>
      <c r="B60" s="1167" t="s">
        <v>213</v>
      </c>
      <c r="C60" s="1167"/>
      <c r="D60" s="1167"/>
      <c r="E60" s="276">
        <f>'1.sz.m-önk.össze.bev'!E59</f>
        <v>84445</v>
      </c>
      <c r="F60" s="276">
        <f>'1.sz.m-önk.össze.bev'!F59</f>
        <v>84445</v>
      </c>
      <c r="G60" s="276">
        <f>'1.sz.m-önk.össze.bev'!G59</f>
        <v>84445</v>
      </c>
      <c r="H60" s="276">
        <f>'1.sz.m-önk.össze.bev'!H59</f>
        <v>84445</v>
      </c>
      <c r="I60" s="276">
        <f>'1.sz.m-önk.össze.bev'!I59</f>
        <v>96606</v>
      </c>
      <c r="J60" s="276">
        <f>'1.sz.m-önk.össze.bev'!J59</f>
        <v>95789</v>
      </c>
      <c r="K60" s="276">
        <f>'1.sz.m-önk.össze.bev'!K59</f>
        <v>95789</v>
      </c>
      <c r="L60" s="276"/>
      <c r="M60" s="276">
        <f>'1.sz.m-önk.össze.bev'!M59</f>
        <v>84445</v>
      </c>
      <c r="N60" s="276">
        <f>'1.sz.m-önk.össze.bev'!N59</f>
        <v>84445</v>
      </c>
      <c r="O60" s="276">
        <f>'1.sz.m-önk.össze.bev'!O59</f>
        <v>84445</v>
      </c>
      <c r="P60" s="276">
        <f>'1.sz.m-önk.össze.bev'!P59</f>
        <v>84445</v>
      </c>
      <c r="Q60" s="276">
        <f>'1.sz.m-önk.össze.bev'!Q59</f>
        <v>0</v>
      </c>
      <c r="R60" s="276">
        <f>'1.sz.m-önk.össze.bev'!R59</f>
        <v>96606</v>
      </c>
      <c r="S60" s="276">
        <f>'1.sz.m-önk.össze.bev'!S59</f>
        <v>95789</v>
      </c>
      <c r="T60" s="276">
        <f>'1.sz.m-önk.össze.bev'!T59</f>
        <v>95789</v>
      </c>
      <c r="U60" s="276"/>
      <c r="V60" s="276">
        <f>'1.sz.m-önk.össze.bev'!V59</f>
        <v>0</v>
      </c>
      <c r="W60" s="276">
        <f>'1.sz.m-önk.össze.bev'!W59</f>
        <v>0</v>
      </c>
      <c r="X60" s="276">
        <f>'1.sz.m-önk.össze.bev'!X59</f>
        <v>0</v>
      </c>
      <c r="Y60" s="276">
        <f>'1.sz.m-önk.össze.bev'!Y59</f>
        <v>0</v>
      </c>
      <c r="Z60" s="276">
        <f>'1.sz.m-önk.össze.bev'!Z59</f>
        <v>0</v>
      </c>
      <c r="AA60" s="276">
        <f>'1.sz.m-önk.össze.bev'!AA59</f>
        <v>0</v>
      </c>
      <c r="AB60" s="276">
        <f>'1.sz.m-önk.össze.bev'!AB59</f>
        <v>0</v>
      </c>
      <c r="AC60" s="276">
        <f>'1.sz.m-önk.össze.bev'!AC59</f>
        <v>0</v>
      </c>
      <c r="AD60" s="276">
        <f>'1.sz.m-önk.össze.bev'!AD59</f>
        <v>0</v>
      </c>
      <c r="AE60" s="276">
        <f>'1.sz.m-önk.össze.bev'!AE59</f>
        <v>0</v>
      </c>
      <c r="AF60" s="276">
        <f>'1.sz.m-önk.össze.bev'!AF59</f>
        <v>0</v>
      </c>
      <c r="AG60" s="276">
        <f>'1.sz.m-önk.össze.bev'!AG59</f>
        <v>0</v>
      </c>
      <c r="AH60" s="276">
        <f>'1.sz.m-önk.össze.bev'!AH59</f>
        <v>0</v>
      </c>
      <c r="AI60" s="276">
        <f>'1.sz.m-önk.össze.bev'!AI59</f>
        <v>0</v>
      </c>
      <c r="AJ60" s="276">
        <f>'1.sz.m-önk.össze.bev'!AJ59</f>
        <v>0</v>
      </c>
      <c r="AK60" s="276"/>
    </row>
    <row r="61" spans="1:37" ht="27" customHeight="1">
      <c r="A61" s="272" t="s">
        <v>169</v>
      </c>
      <c r="B61" s="1167" t="s">
        <v>214</v>
      </c>
      <c r="C61" s="1167"/>
      <c r="D61" s="1167"/>
      <c r="E61" s="276">
        <f>'1.sz.m-önk.össze.bev'!E57</f>
        <v>32367</v>
      </c>
      <c r="F61" s="276">
        <f>'1.sz.m-önk.össze.bev'!F57</f>
        <v>32367</v>
      </c>
      <c r="G61" s="276">
        <f>'1.sz.m-önk.össze.bev'!G57</f>
        <v>32342</v>
      </c>
      <c r="H61" s="276">
        <f>'1.sz.m-önk.össze.bev'!H57</f>
        <v>32342</v>
      </c>
      <c r="I61" s="276">
        <f>'1.sz.m-önk.össze.bev'!I57</f>
        <v>32342</v>
      </c>
      <c r="J61" s="276">
        <f>'1.sz.m-önk.össze.bev'!J57</f>
        <v>0</v>
      </c>
      <c r="K61" s="276">
        <f>'1.sz.m-önk.össze.bev'!K57</f>
        <v>0</v>
      </c>
      <c r="L61" s="276"/>
      <c r="M61" s="276">
        <f>'1.sz.m-önk.össze.bev'!M57</f>
        <v>32367</v>
      </c>
      <c r="N61" s="276">
        <f>'1.sz.m-önk.össze.bev'!N57</f>
        <v>32367</v>
      </c>
      <c r="O61" s="276">
        <f>'1.sz.m-önk.össze.bev'!O57</f>
        <v>32342</v>
      </c>
      <c r="P61" s="276">
        <f>'1.sz.m-önk.össze.bev'!P57</f>
        <v>32342</v>
      </c>
      <c r="Q61" s="276">
        <f>'1.sz.m-önk.össze.bev'!Q57</f>
        <v>0</v>
      </c>
      <c r="R61" s="276">
        <f>'1.sz.m-önk.össze.bev'!R57</f>
        <v>32342</v>
      </c>
      <c r="S61" s="276">
        <f>'1.sz.m-önk.össze.bev'!S57</f>
        <v>0</v>
      </c>
      <c r="T61" s="276">
        <f>'1.sz.m-önk.össze.bev'!T57</f>
        <v>0</v>
      </c>
      <c r="U61" s="276"/>
      <c r="V61" s="276">
        <f>'1.sz.m-önk.össze.bev'!V57</f>
        <v>0</v>
      </c>
      <c r="W61" s="276">
        <f>'1.sz.m-önk.össze.bev'!W57</f>
        <v>0</v>
      </c>
      <c r="X61" s="276">
        <f>'1.sz.m-önk.össze.bev'!X57</f>
        <v>0</v>
      </c>
      <c r="Y61" s="276">
        <f>'1.sz.m-önk.össze.bev'!Y57</f>
        <v>0</v>
      </c>
      <c r="Z61" s="276">
        <f>'1.sz.m-önk.össze.bev'!Z57</f>
        <v>0</v>
      </c>
      <c r="AA61" s="276">
        <f>'1.sz.m-önk.össze.bev'!AA57</f>
        <v>0</v>
      </c>
      <c r="AB61" s="276">
        <f>'1.sz.m-önk.össze.bev'!AB57</f>
        <v>0</v>
      </c>
      <c r="AC61" s="276">
        <f>'1.sz.m-önk.össze.bev'!AC57</f>
        <v>0</v>
      </c>
      <c r="AD61" s="276">
        <f>'1.sz.m-önk.össze.bev'!AD57</f>
        <v>0</v>
      </c>
      <c r="AE61" s="276">
        <f>'1.sz.m-önk.össze.bev'!AE57</f>
        <v>0</v>
      </c>
      <c r="AF61" s="276">
        <f>'1.sz.m-önk.össze.bev'!AF57</f>
        <v>0</v>
      </c>
      <c r="AG61" s="276">
        <f>'1.sz.m-önk.össze.bev'!AG57</f>
        <v>0</v>
      </c>
      <c r="AH61" s="276">
        <f>'1.sz.m-önk.össze.bev'!AH57</f>
        <v>0</v>
      </c>
      <c r="AI61" s="276">
        <f>'1.sz.m-önk.össze.bev'!AI57</f>
        <v>0</v>
      </c>
      <c r="AJ61" s="276">
        <f>'1.sz.m-önk.össze.bev'!AJ57</f>
        <v>0</v>
      </c>
      <c r="AK61" s="276"/>
    </row>
    <row r="62" spans="1:37" ht="27" customHeight="1">
      <c r="A62" s="273" t="s">
        <v>170</v>
      </c>
      <c r="B62" s="1166" t="s">
        <v>171</v>
      </c>
      <c r="C62" s="1166"/>
      <c r="D62" s="1166"/>
      <c r="E62" s="277">
        <f>E30</f>
        <v>0</v>
      </c>
      <c r="F62" s="277">
        <f>F30</f>
        <v>8934</v>
      </c>
      <c r="G62" s="277">
        <f>G30</f>
        <v>8934</v>
      </c>
      <c r="H62" s="277">
        <f>H30</f>
        <v>8934</v>
      </c>
      <c r="I62" s="277">
        <f>I30</f>
        <v>8934</v>
      </c>
      <c r="J62" s="277">
        <f aca="true" t="shared" si="25" ref="J62:O62">J30</f>
        <v>8934</v>
      </c>
      <c r="K62" s="277">
        <f t="shared" si="25"/>
        <v>8934</v>
      </c>
      <c r="L62" s="277"/>
      <c r="M62" s="277">
        <f t="shared" si="25"/>
        <v>0</v>
      </c>
      <c r="N62" s="277">
        <f t="shared" si="25"/>
        <v>8934</v>
      </c>
      <c r="O62" s="277">
        <f t="shared" si="25"/>
        <v>8934</v>
      </c>
      <c r="P62" s="277">
        <f aca="true" t="shared" si="26" ref="P62:AJ62">P30</f>
        <v>8934</v>
      </c>
      <c r="Q62" s="277">
        <f t="shared" si="26"/>
        <v>0</v>
      </c>
      <c r="R62" s="277">
        <f t="shared" si="26"/>
        <v>8934</v>
      </c>
      <c r="S62" s="277">
        <f t="shared" si="26"/>
        <v>8934</v>
      </c>
      <c r="T62" s="277">
        <f t="shared" si="26"/>
        <v>8934</v>
      </c>
      <c r="U62" s="277"/>
      <c r="V62" s="277">
        <f t="shared" si="26"/>
        <v>0</v>
      </c>
      <c r="W62" s="277">
        <f t="shared" si="26"/>
        <v>0</v>
      </c>
      <c r="X62" s="277">
        <f t="shared" si="26"/>
        <v>0</v>
      </c>
      <c r="Y62" s="277">
        <f t="shared" si="26"/>
        <v>0</v>
      </c>
      <c r="Z62" s="277">
        <f t="shared" si="26"/>
        <v>0</v>
      </c>
      <c r="AA62" s="277">
        <f t="shared" si="26"/>
        <v>0</v>
      </c>
      <c r="AB62" s="277">
        <f t="shared" si="26"/>
        <v>0</v>
      </c>
      <c r="AC62" s="277">
        <f t="shared" si="26"/>
        <v>0</v>
      </c>
      <c r="AD62" s="277">
        <f t="shared" si="26"/>
        <v>0</v>
      </c>
      <c r="AE62" s="277">
        <f t="shared" si="26"/>
        <v>0</v>
      </c>
      <c r="AF62" s="277">
        <f t="shared" si="26"/>
        <v>0</v>
      </c>
      <c r="AG62" s="277">
        <f t="shared" si="26"/>
        <v>0</v>
      </c>
      <c r="AH62" s="277">
        <f t="shared" si="26"/>
        <v>0</v>
      </c>
      <c r="AI62" s="277">
        <f t="shared" si="26"/>
        <v>0</v>
      </c>
      <c r="AJ62" s="277">
        <f t="shared" si="26"/>
        <v>0</v>
      </c>
      <c r="AK62" s="277"/>
    </row>
    <row r="63" spans="1:37" ht="27" customHeight="1">
      <c r="A63" s="271" t="s">
        <v>172</v>
      </c>
      <c r="B63" s="1167" t="s">
        <v>215</v>
      </c>
      <c r="C63" s="1167"/>
      <c r="D63" s="1167"/>
      <c r="E63" s="276">
        <v>0</v>
      </c>
      <c r="F63" s="276">
        <v>0</v>
      </c>
      <c r="G63" s="276">
        <v>0</v>
      </c>
      <c r="H63" s="276">
        <v>0</v>
      </c>
      <c r="I63" s="276">
        <v>0</v>
      </c>
      <c r="J63" s="276">
        <v>0</v>
      </c>
      <c r="K63" s="276">
        <v>0</v>
      </c>
      <c r="L63" s="276"/>
      <c r="M63" s="276">
        <v>0</v>
      </c>
      <c r="N63" s="276">
        <v>0</v>
      </c>
      <c r="O63" s="276">
        <v>0</v>
      </c>
      <c r="P63" s="276">
        <v>0</v>
      </c>
      <c r="Q63" s="276">
        <v>0</v>
      </c>
      <c r="R63" s="276">
        <v>0</v>
      </c>
      <c r="S63" s="276">
        <v>0</v>
      </c>
      <c r="T63" s="276">
        <v>0</v>
      </c>
      <c r="U63" s="276"/>
      <c r="V63" s="276">
        <v>0</v>
      </c>
      <c r="W63" s="276">
        <v>0</v>
      </c>
      <c r="X63" s="276">
        <v>0</v>
      </c>
      <c r="Y63" s="276">
        <v>0</v>
      </c>
      <c r="Z63" s="276">
        <v>0</v>
      </c>
      <c r="AA63" s="276">
        <v>0</v>
      </c>
      <c r="AB63" s="276">
        <v>0</v>
      </c>
      <c r="AC63" s="276">
        <v>0</v>
      </c>
      <c r="AD63" s="276">
        <v>0</v>
      </c>
      <c r="AE63" s="276">
        <v>0</v>
      </c>
      <c r="AF63" s="276">
        <v>0</v>
      </c>
      <c r="AG63" s="276">
        <v>0</v>
      </c>
      <c r="AH63" s="276">
        <v>0</v>
      </c>
      <c r="AI63" s="276">
        <v>0</v>
      </c>
      <c r="AJ63" s="276">
        <v>0</v>
      </c>
      <c r="AK63" s="276"/>
    </row>
    <row r="64" spans="1:37" ht="27" customHeight="1" thickBot="1">
      <c r="A64" s="278" t="s">
        <v>173</v>
      </c>
      <c r="B64" s="1161" t="s">
        <v>216</v>
      </c>
      <c r="C64" s="1161"/>
      <c r="D64" s="1161"/>
      <c r="E64" s="279">
        <v>0</v>
      </c>
      <c r="F64" s="279">
        <v>0</v>
      </c>
      <c r="G64" s="279">
        <v>0</v>
      </c>
      <c r="H64" s="279">
        <v>0</v>
      </c>
      <c r="I64" s="279">
        <v>0</v>
      </c>
      <c r="J64" s="279">
        <v>0</v>
      </c>
      <c r="K64" s="279">
        <v>0</v>
      </c>
      <c r="L64" s="279"/>
      <c r="M64" s="279">
        <v>0</v>
      </c>
      <c r="N64" s="279">
        <v>0</v>
      </c>
      <c r="O64" s="279">
        <v>0</v>
      </c>
      <c r="P64" s="279">
        <v>0</v>
      </c>
      <c r="Q64" s="279">
        <v>0</v>
      </c>
      <c r="R64" s="279">
        <v>0</v>
      </c>
      <c r="S64" s="279">
        <v>0</v>
      </c>
      <c r="T64" s="279">
        <v>0</v>
      </c>
      <c r="U64" s="279"/>
      <c r="V64" s="279">
        <v>0</v>
      </c>
      <c r="W64" s="279">
        <v>0</v>
      </c>
      <c r="X64" s="279">
        <v>0</v>
      </c>
      <c r="Y64" s="279">
        <v>0</v>
      </c>
      <c r="Z64" s="279">
        <v>0</v>
      </c>
      <c r="AA64" s="279">
        <v>0</v>
      </c>
      <c r="AB64" s="279">
        <v>0</v>
      </c>
      <c r="AC64" s="279">
        <v>0</v>
      </c>
      <c r="AD64" s="279">
        <v>0</v>
      </c>
      <c r="AE64" s="279">
        <v>0</v>
      </c>
      <c r="AF64" s="279">
        <v>0</v>
      </c>
      <c r="AG64" s="279">
        <v>0</v>
      </c>
      <c r="AH64" s="279">
        <v>0</v>
      </c>
      <c r="AI64" s="279">
        <v>0</v>
      </c>
      <c r="AJ64" s="279">
        <v>0</v>
      </c>
      <c r="AK64" s="279"/>
    </row>
  </sheetData>
  <sheetProtection/>
  <mergeCells count="41">
    <mergeCell ref="B63:D63"/>
    <mergeCell ref="C31:D31"/>
    <mergeCell ref="C49:V49"/>
    <mergeCell ref="A36:D36"/>
    <mergeCell ref="B41:D41"/>
    <mergeCell ref="C44:D44"/>
    <mergeCell ref="B64:D64"/>
    <mergeCell ref="B52:D52"/>
    <mergeCell ref="B53:D53"/>
    <mergeCell ref="B58:D58"/>
    <mergeCell ref="B59:D59"/>
    <mergeCell ref="B61:D61"/>
    <mergeCell ref="B60:D60"/>
    <mergeCell ref="C55:V55"/>
    <mergeCell ref="C57:D57"/>
    <mergeCell ref="B62:D62"/>
    <mergeCell ref="C17:D17"/>
    <mergeCell ref="B34:D34"/>
    <mergeCell ref="C18:D18"/>
    <mergeCell ref="C50:D50"/>
    <mergeCell ref="B46:D46"/>
    <mergeCell ref="B47:D47"/>
    <mergeCell ref="B45:D45"/>
    <mergeCell ref="C43:V43"/>
    <mergeCell ref="C39:V39"/>
    <mergeCell ref="C19:D19"/>
    <mergeCell ref="A1:AD1"/>
    <mergeCell ref="A3:D3"/>
    <mergeCell ref="A2:B2"/>
    <mergeCell ref="B5:D5"/>
    <mergeCell ref="AD3:AK3"/>
    <mergeCell ref="B16:D16"/>
    <mergeCell ref="C26:D26"/>
    <mergeCell ref="B29:D29"/>
    <mergeCell ref="C32:D32"/>
    <mergeCell ref="B30:D30"/>
    <mergeCell ref="B24:D24"/>
    <mergeCell ref="B51:D51"/>
    <mergeCell ref="A35:D35"/>
    <mergeCell ref="C33:D33"/>
    <mergeCell ref="C25:D25"/>
  </mergeCells>
  <printOptions horizontalCentered="1"/>
  <pageMargins left="0.2755905511811024" right="0.4330708661417323" top="0.984251968503937" bottom="0.7874015748031497" header="0.5118110236220472" footer="0.5118110236220472"/>
  <pageSetup horizontalDpi="600" verticalDpi="600" orientation="portrait" paperSize="9" scale="35" r:id="rId1"/>
  <headerFooter differentOddEven="1" alignWithMargins="0">
    <oddHeader>&amp;C&amp;"Algerian,Normál"&amp;16BELED VÁROS ÖNKORMÁNYZATA
2015. ÉVI KÖLTSÉGVETÉSÉNEK ÖSSZEVONT MÉRLEGE&amp;R&amp;"MS Sans Serif,Félkövér dőlt"1. számú melléklet
</oddHeader>
    <oddFooter>&amp;C2. oldal</oddFooter>
    <evenHeader>&amp;R1. sz?m? mell?klet</evenHeader>
    <evenFooter>&amp;C3. oldal</evenFooter>
    <firstFooter>&amp;C2[Oldal]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A7">
      <selection activeCell="J29" sqref="J29"/>
    </sheetView>
  </sheetViews>
  <sheetFormatPr defaultColWidth="9.140625" defaultRowHeight="12.75"/>
  <cols>
    <col min="1" max="1" width="47.8515625" style="13" bestFit="1" customWidth="1"/>
    <col min="2" max="2" width="17.7109375" style="13" customWidth="1"/>
    <col min="3" max="5" width="11.421875" style="13" hidden="1" customWidth="1"/>
    <col min="6" max="6" width="13.00390625" style="13" hidden="1" customWidth="1"/>
    <col min="7" max="9" width="11.421875" style="13" customWidth="1"/>
    <col min="10" max="10" width="43.57421875" style="13" bestFit="1" customWidth="1"/>
    <col min="11" max="11" width="16.140625" style="13" customWidth="1"/>
    <col min="12" max="14" width="11.421875" style="13" hidden="1" customWidth="1"/>
    <col min="15" max="15" width="11.8515625" style="13" hidden="1" customWidth="1"/>
    <col min="16" max="16" width="11.421875" style="13" customWidth="1"/>
    <col min="17" max="17" width="11.7109375" style="13" customWidth="1"/>
    <col min="18" max="16384" width="9.140625" style="13" customWidth="1"/>
  </cols>
  <sheetData>
    <row r="1" spans="10:11" ht="12.75">
      <c r="J1" s="1174" t="s">
        <v>27</v>
      </c>
      <c r="K1" s="1174"/>
    </row>
    <row r="2" spans="1:11" ht="19.5">
      <c r="A2" s="1175" t="s">
        <v>21</v>
      </c>
      <c r="B2" s="1175"/>
      <c r="C2" s="1175"/>
      <c r="D2" s="1175"/>
      <c r="E2" s="1175"/>
      <c r="F2" s="1175"/>
      <c r="G2" s="1175"/>
      <c r="H2" s="1175"/>
      <c r="I2" s="1175"/>
      <c r="J2" s="1175"/>
      <c r="K2" s="1175"/>
    </row>
    <row r="3" spans="1:11" ht="11.2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69" t="s">
        <v>2</v>
      </c>
    </row>
    <row r="4" spans="1:11" ht="17.25" customHeight="1" thickBot="1">
      <c r="A4" s="1176" t="s">
        <v>211</v>
      </c>
      <c r="B4" s="1177"/>
      <c r="C4" s="1177"/>
      <c r="D4" s="1177"/>
      <c r="E4" s="1177"/>
      <c r="F4" s="1177"/>
      <c r="G4" s="1177"/>
      <c r="H4" s="1177"/>
      <c r="I4" s="1177"/>
      <c r="J4" s="1176"/>
      <c r="K4" s="1177"/>
    </row>
    <row r="5" spans="1:18" ht="33" customHeight="1" thickBot="1">
      <c r="A5" s="347" t="s">
        <v>7</v>
      </c>
      <c r="B5" s="442" t="s">
        <v>247</v>
      </c>
      <c r="C5" s="443" t="s">
        <v>245</v>
      </c>
      <c r="D5" s="443" t="s">
        <v>248</v>
      </c>
      <c r="E5" s="443" t="s">
        <v>251</v>
      </c>
      <c r="F5" s="443" t="s">
        <v>267</v>
      </c>
      <c r="G5" s="444" t="s">
        <v>271</v>
      </c>
      <c r="H5" s="395" t="s">
        <v>254</v>
      </c>
      <c r="I5" s="444" t="s">
        <v>255</v>
      </c>
      <c r="J5" s="395" t="s">
        <v>8</v>
      </c>
      <c r="K5" s="442" t="s">
        <v>247</v>
      </c>
      <c r="L5" s="443" t="s">
        <v>245</v>
      </c>
      <c r="M5" s="443" t="s">
        <v>248</v>
      </c>
      <c r="N5" s="443" t="s">
        <v>251</v>
      </c>
      <c r="O5" s="443" t="s">
        <v>267</v>
      </c>
      <c r="P5" s="444" t="s">
        <v>271</v>
      </c>
      <c r="Q5" s="395" t="s">
        <v>254</v>
      </c>
      <c r="R5" s="444" t="s">
        <v>255</v>
      </c>
    </row>
    <row r="6" spans="1:18" ht="12.75">
      <c r="A6" s="349" t="s">
        <v>361</v>
      </c>
      <c r="B6" s="445">
        <f>'3.sz.m Önk  bev.'!E7</f>
        <v>122044</v>
      </c>
      <c r="C6" s="445">
        <f>'3.sz.m Önk  bev.'!F7</f>
        <v>122044</v>
      </c>
      <c r="D6" s="445">
        <f>'3.sz.m Önk  bev.'!G7</f>
        <v>122044</v>
      </c>
      <c r="E6" s="445">
        <f>'3.sz.m Önk  bev.'!H7</f>
        <v>123344</v>
      </c>
      <c r="F6" s="445">
        <f>'3.sz.m Önk  bev.'!I7</f>
        <v>150156</v>
      </c>
      <c r="G6" s="445">
        <f>'3.sz.m Önk  bev.'!J7</f>
        <v>199145</v>
      </c>
      <c r="H6" s="445">
        <f>'3.sz.m Önk  bev.'!K7</f>
        <v>192047</v>
      </c>
      <c r="I6" s="1012">
        <f>H6/G6</f>
        <v>0.964357628863391</v>
      </c>
      <c r="J6" s="429" t="s">
        <v>185</v>
      </c>
      <c r="K6" s="465">
        <f>'4.sz.m.ÖNK kiadás'!E7+'5.1 sz. m Köz Hiv'!D31+'5.2 sz. m ÁMK'!D30+'üres lap'!D27</f>
        <v>163675</v>
      </c>
      <c r="L6" s="465">
        <f>'4.sz.m.ÖNK kiadás'!F7+'5.1 sz. m Köz Hiv'!E31+'5.2 sz. m ÁMK'!E30+'üres lap'!E27</f>
        <v>163675</v>
      </c>
      <c r="M6" s="466">
        <f>'4.sz.m.ÖNK kiadás'!G7+'5.1 sz. m Köz Hiv'!F31+'5.2 sz. m ÁMK'!F30+'üres lap'!F27</f>
        <v>163675</v>
      </c>
      <c r="N6" s="466">
        <f>'4.sz.m.ÖNK kiadás'!H7+'5.1 sz. m Köz Hiv'!G31+'5.2 sz. m ÁMK'!G30+'üres lap'!G27</f>
        <v>163675</v>
      </c>
      <c r="O6" s="466">
        <f>'4.sz.m.ÖNK kiadás'!I7+'5.1 sz. m Köz Hiv'!H31+'5.2 sz. m ÁMK'!H30+'üres lap'!H27</f>
        <v>164485</v>
      </c>
      <c r="P6" s="466">
        <f>'4.sz.m.ÖNK kiadás'!J7+'5.1 sz. m Köz Hiv'!I31+'5.2 sz. m ÁMK'!I30+'üres lap'!I27</f>
        <v>165249</v>
      </c>
      <c r="Q6" s="466">
        <f>'4.sz.m.ÖNK kiadás'!K7+'5.1 sz. m Köz Hiv'!J31+'5.2 sz. m ÁMK'!J30+'üres lap'!J27</f>
        <v>149512</v>
      </c>
      <c r="R6" s="1012">
        <f>Q6/P6</f>
        <v>0.9047679562357412</v>
      </c>
    </row>
    <row r="7" spans="1:18" ht="12.75">
      <c r="A7" s="350" t="s">
        <v>362</v>
      </c>
      <c r="B7" s="447">
        <f>'3.sz.m Önk  bev.'!E21+'5.1 sz. m Köz Hiv'!D9+'5.2 sz. m ÁMK'!D9-7931</f>
        <v>38654</v>
      </c>
      <c r="C7" s="447">
        <f>'3.sz.m Önk  bev.'!F21+'5.1 sz. m Köz Hiv'!E9+'5.2 sz. m ÁMK'!E9-7931</f>
        <v>38654</v>
      </c>
      <c r="D7" s="447">
        <f>'3.sz.m Önk  bev.'!G21+'5.1 sz. m Köz Hiv'!F9+'5.2 sz. m ÁMK'!F9-7931</f>
        <v>46250</v>
      </c>
      <c r="E7" s="447">
        <f>'3.sz.m Önk  bev.'!H21+'5.1 sz. m Köz Hiv'!G9+'5.2 sz. m ÁMK'!G9-7931</f>
        <v>51930</v>
      </c>
      <c r="F7" s="447">
        <f>'3.sz.m Önk  bev.'!I21+'5.1 sz. m Köz Hiv'!H9+'5.2 sz. m ÁMK'!H9-7931</f>
        <v>51733</v>
      </c>
      <c r="G7" s="447">
        <f>'3.sz.m Önk  bev.'!J21+'5.1 sz. m Köz Hiv'!I9+'5.2 sz. m ÁMK'!I9-8804</f>
        <v>52971</v>
      </c>
      <c r="H7" s="447">
        <f>'3.sz.m Önk  bev.'!K21+'5.1 sz. m Köz Hiv'!J9+'5.2 sz. m ÁMK'!J9-7931</f>
        <v>51626</v>
      </c>
      <c r="I7" s="1005">
        <f aca="true" t="shared" si="0" ref="I7:I22">H7/G7</f>
        <v>0.974608748182968</v>
      </c>
      <c r="J7" s="430" t="s">
        <v>186</v>
      </c>
      <c r="K7" s="447">
        <f>'4.sz.m.ÖNK kiadás'!E8+'5.1 sz. m Köz Hiv'!D32+'5.2 sz. m ÁMK'!D31+'üres lap'!D28</f>
        <v>44019</v>
      </c>
      <c r="L7" s="447">
        <f>'4.sz.m.ÖNK kiadás'!F8+'5.1 sz. m Köz Hiv'!E32+'5.2 sz. m ÁMK'!E31+'üres lap'!E28</f>
        <v>44019</v>
      </c>
      <c r="M7" s="448">
        <f>'4.sz.m.ÖNK kiadás'!G8+'5.1 sz. m Köz Hiv'!F32+'5.2 sz. m ÁMK'!F31+'üres lap'!F28</f>
        <v>44019</v>
      </c>
      <c r="N7" s="448">
        <f>'4.sz.m.ÖNK kiadás'!H8+'5.1 sz. m Köz Hiv'!G32+'5.2 sz. m ÁMK'!G31+'üres lap'!G28</f>
        <v>44019</v>
      </c>
      <c r="O7" s="448">
        <f>'4.sz.m.ÖNK kiadás'!I8+'5.1 sz. m Köz Hiv'!H32+'5.2 sz. m ÁMK'!H31+'üres lap'!H28</f>
        <v>44238</v>
      </c>
      <c r="P7" s="448">
        <f>'4.sz.m.ÖNK kiadás'!J8+'5.1 sz. m Köz Hiv'!I32+'5.2 sz. m ÁMK'!I31+'üres lap'!I28</f>
        <v>41723</v>
      </c>
      <c r="Q7" s="448">
        <f>'4.sz.m.ÖNK kiadás'!K8+'5.1 sz. m Köz Hiv'!J32+'5.2 sz. m ÁMK'!J31+'üres lap'!J28</f>
        <v>39238</v>
      </c>
      <c r="R7" s="1005">
        <f aca="true" t="shared" si="1" ref="R7:R18">Q7/P7</f>
        <v>0.9404405244109963</v>
      </c>
    </row>
    <row r="8" spans="1:18" ht="25.5">
      <c r="A8" s="350" t="s">
        <v>363</v>
      </c>
      <c r="B8" s="447">
        <f>'3.sz.m Önk  bev.'!E32+'5.1 sz. m Köz Hiv'!D11+'5.2 sz. m ÁMK'!D10</f>
        <v>271409</v>
      </c>
      <c r="C8" s="447">
        <f>'3.sz.m Önk  bev.'!F32+'5.1 sz. m Köz Hiv'!E11+'5.2 sz. m ÁMK'!E10</f>
        <v>279559</v>
      </c>
      <c r="D8" s="447">
        <f>'3.sz.m Önk  bev.'!G32+'5.1 sz. m Köz Hiv'!F11+'5.2 sz. m ÁMK'!F10</f>
        <v>279678</v>
      </c>
      <c r="E8" s="447">
        <f>'3.sz.m Önk  bev.'!H32+'5.1 sz. m Köz Hiv'!G11+'5.2 sz. m ÁMK'!G10</f>
        <v>279958</v>
      </c>
      <c r="F8" s="447">
        <f>'3.sz.m Önk  bev.'!I32+'5.1 sz. m Köz Hiv'!H11+'5.2 sz. m ÁMK'!H10</f>
        <v>287286</v>
      </c>
      <c r="G8" s="447">
        <f>'3.sz.m Önk  bev.'!J32+'5.1 sz. m Köz Hiv'!I11+'5.2 sz. m ÁMK'!I10</f>
        <v>289368</v>
      </c>
      <c r="H8" s="447">
        <f>'3.sz.m Önk  bev.'!K32+'5.1 sz. m Köz Hiv'!J11+'5.2 sz. m ÁMK'!J10</f>
        <v>289255</v>
      </c>
      <c r="I8" s="1005">
        <f t="shared" si="0"/>
        <v>0.9996094937933704</v>
      </c>
      <c r="J8" s="430" t="s">
        <v>187</v>
      </c>
      <c r="K8" s="447">
        <f>'4.sz.m.ÖNK kiadás'!E9+'5.1 sz. m Köz Hiv'!D33+'5.2 sz. m ÁMK'!D32+'üres lap'!D29</f>
        <v>139996</v>
      </c>
      <c r="L8" s="447">
        <f>'4.sz.m.ÖNK kiadás'!F9+'5.1 sz. m Köz Hiv'!E33+'5.2 sz. m ÁMK'!E32+'üres lap'!E29</f>
        <v>139996</v>
      </c>
      <c r="M8" s="448">
        <f>'4.sz.m.ÖNK kiadás'!G9+'5.1 sz. m Köz Hiv'!F33+'5.2 sz. m ÁMK'!F32+'üres lap'!F29</f>
        <v>146929</v>
      </c>
      <c r="N8" s="448">
        <f>'4.sz.m.ÖNK kiadás'!H9+'5.1 sz. m Köz Hiv'!G33+'5.2 sz. m ÁMK'!G32+'üres lap'!G29</f>
        <v>151152</v>
      </c>
      <c r="O8" s="448">
        <f>'4.sz.m.ÖNK kiadás'!I9+'5.1 sz. m Köz Hiv'!H33+'5.2 sz. m ÁMK'!H32+'üres lap'!H29</f>
        <v>154379</v>
      </c>
      <c r="P8" s="448">
        <f>'4.sz.m.ÖNK kiadás'!J9+'5.1 sz. m Köz Hiv'!I33+'5.2 sz. m ÁMK'!I32+'üres lap'!I29</f>
        <v>237556</v>
      </c>
      <c r="Q8" s="448">
        <f>'4.sz.m.ÖNK kiadás'!K9+'5.1 sz. m Köz Hiv'!J33+'5.2 sz. m ÁMK'!J32+'üres lap'!J29</f>
        <v>119832</v>
      </c>
      <c r="R8" s="1005">
        <f t="shared" si="1"/>
        <v>0.5044368485746519</v>
      </c>
    </row>
    <row r="9" spans="1:18" ht="12.75">
      <c r="A9" s="350" t="s">
        <v>364</v>
      </c>
      <c r="B9" s="447">
        <f>'3.sz.m Önk  bev.'!E50+'5.1 sz. m Köz Hiv'!D17+'5.2 sz. m ÁMK'!D16</f>
        <v>60</v>
      </c>
      <c r="C9" s="447">
        <f>'3.sz.m Önk  bev.'!F50+'5.1 sz. m Köz Hiv'!E17+'5.2 sz. m ÁMK'!E16</f>
        <v>60</v>
      </c>
      <c r="D9" s="447">
        <f>'3.sz.m Önk  bev.'!G50+'5.1 sz. m Köz Hiv'!F17+'5.2 sz. m ÁMK'!F16</f>
        <v>405</v>
      </c>
      <c r="E9" s="447">
        <f>'3.sz.m Önk  bev.'!H50+'5.1 sz. m Köz Hiv'!G17+'5.2 sz. m ÁMK'!G16</f>
        <v>805</v>
      </c>
      <c r="F9" s="447">
        <f>'3.sz.m Önk  bev.'!I50+'5.1 sz. m Köz Hiv'!H17+'5.2 sz. m ÁMK'!H16</f>
        <v>805</v>
      </c>
      <c r="G9" s="447">
        <f>'3.sz.m Önk  bev.'!J50+'5.1 sz. m Köz Hiv'!I17+'5.2 sz. m ÁMK'!I16</f>
        <v>830</v>
      </c>
      <c r="H9" s="447">
        <f>'3.sz.m Önk  bev.'!K50+'5.1 sz. m Köz Hiv'!J17+'5.2 sz. m ÁMK'!J16</f>
        <v>830</v>
      </c>
      <c r="I9" s="1005">
        <f t="shared" si="0"/>
        <v>1</v>
      </c>
      <c r="J9" s="430" t="s">
        <v>188</v>
      </c>
      <c r="K9" s="467">
        <f>'4.sz.m.ÖNK kiadás'!E10+'5.1 sz. m Köz Hiv'!D34+'5.2 sz. m ÁMK'!D33+'üres lap'!D30</f>
        <v>6080</v>
      </c>
      <c r="L9" s="467">
        <f>'4.sz.m.ÖNK kiadás'!F10+'5.1 sz. m Köz Hiv'!E34+'5.2 sz. m ÁMK'!E33+'üres lap'!E30</f>
        <v>6080</v>
      </c>
      <c r="M9" s="468">
        <f>'4.sz.m.ÖNK kiadás'!G10+'5.1 sz. m Köz Hiv'!F34+'5.2 sz. m ÁMK'!F33+'üres lap'!F30</f>
        <v>6570</v>
      </c>
      <c r="N9" s="468">
        <f>'4.sz.m.ÖNK kiadás'!H10+'5.1 sz. m Köz Hiv'!G34+'5.2 sz. m ÁMK'!G33+'üres lap'!G30</f>
        <v>6850</v>
      </c>
      <c r="O9" s="468">
        <f>'4.sz.m.ÖNK kiadás'!I10+'5.1 sz. m Köz Hiv'!H34+'5.2 sz. m ÁMK'!H33+'üres lap'!H30</f>
        <v>8541</v>
      </c>
      <c r="P9" s="468">
        <f>'4.sz.m.ÖNK kiadás'!J10+'5.1 sz. m Köz Hiv'!I34+'5.2 sz. m ÁMK'!I33+'üres lap'!I30</f>
        <v>7612</v>
      </c>
      <c r="Q9" s="468">
        <f>'4.sz.m.ÖNK kiadás'!K10+'5.1 sz. m Köz Hiv'!J34+'5.2 sz. m ÁMK'!J33+'üres lap'!J30</f>
        <v>5450</v>
      </c>
      <c r="R9" s="1005">
        <f t="shared" si="1"/>
        <v>0.7159747766684182</v>
      </c>
    </row>
    <row r="10" spans="1:18" ht="12.75">
      <c r="A10" s="350"/>
      <c r="B10" s="447"/>
      <c r="C10" s="447"/>
      <c r="D10" s="447"/>
      <c r="E10" s="447"/>
      <c r="F10" s="447"/>
      <c r="G10" s="447"/>
      <c r="H10" s="447"/>
      <c r="I10" s="1005"/>
      <c r="J10" s="431" t="s">
        <v>189</v>
      </c>
      <c r="K10" s="447">
        <f>'4.sz.m.ÖNK kiadás'!E11+'5.1 sz. m Köz Hiv'!D35+'5.2 sz. m ÁMK'!D34+'üres lap'!D31</f>
        <v>126095</v>
      </c>
      <c r="L10" s="447">
        <f>'4.sz.m.ÖNK kiadás'!F11+'5.1 sz. m Köz Hiv'!E35+'5.2 sz. m ÁMK'!E34+'üres lap'!E31</f>
        <v>131100</v>
      </c>
      <c r="M10" s="448">
        <f>'4.sz.m.ÖNK kiadás'!G11+'5.1 sz. m Köz Hiv'!F35+'5.2 sz. m ÁMK'!F34+'üres lap'!F31</f>
        <v>139967</v>
      </c>
      <c r="N10" s="448">
        <f>'4.sz.m.ÖNK kiadás'!H11+'5.1 sz. m Köz Hiv'!G35+'5.2 sz. m ÁMK'!G34+'üres lap'!G31</f>
        <v>140208</v>
      </c>
      <c r="O10" s="448">
        <f>'4.sz.m.ÖNK kiadás'!I11+'5.1 sz. m Köz Hiv'!H35+'5.2 sz. m ÁMK'!H34+'üres lap'!H31</f>
        <v>144207</v>
      </c>
      <c r="P10" s="448">
        <f>'4.sz.m.ÖNK kiadás'!J11+'5.1 sz. m Köz Hiv'!I35+'5.2 sz. m ÁMK'!I34+'üres lap'!I31</f>
        <v>150885</v>
      </c>
      <c r="Q10" s="448">
        <f>'4.sz.m.ÖNK kiadás'!K11+'5.1 sz. m Köz Hiv'!J35+'5.2 sz. m ÁMK'!J34+'üres lap'!J31</f>
        <v>147882</v>
      </c>
      <c r="R10" s="1005">
        <f t="shared" si="1"/>
        <v>0.9800974251913709</v>
      </c>
    </row>
    <row r="11" spans="1:18" ht="12.75">
      <c r="A11" s="350"/>
      <c r="B11" s="447"/>
      <c r="C11" s="447"/>
      <c r="D11" s="447"/>
      <c r="E11" s="447"/>
      <c r="F11" s="447"/>
      <c r="G11" s="447"/>
      <c r="H11" s="447"/>
      <c r="I11" s="1005"/>
      <c r="J11" s="430" t="s">
        <v>190</v>
      </c>
      <c r="K11" s="467">
        <f>'4.sz.m.ÖNK kiadás'!E25</f>
        <v>36747</v>
      </c>
      <c r="L11" s="467">
        <f>'4.sz.m.ÖNK kiadás'!F25</f>
        <v>30958</v>
      </c>
      <c r="M11" s="468">
        <f>'4.sz.m.ÖNK kiadás'!G25</f>
        <v>22728</v>
      </c>
      <c r="N11" s="468">
        <f>'4.sz.m.ÖNK kiadás'!H25</f>
        <v>25644</v>
      </c>
      <c r="O11" s="468">
        <f>'4.sz.m.ÖNK kiadás'!I25</f>
        <v>61802</v>
      </c>
      <c r="P11" s="468">
        <f>'4.sz.m.ÖNK kiadás'!J25</f>
        <v>0</v>
      </c>
      <c r="Q11" s="468">
        <f>'4.sz.m.ÖNK kiadás'!K25</f>
        <v>0</v>
      </c>
      <c r="R11" s="1005"/>
    </row>
    <row r="12" spans="1:18" ht="12.75" hidden="1">
      <c r="A12" s="351"/>
      <c r="B12" s="449"/>
      <c r="C12" s="449"/>
      <c r="D12" s="449"/>
      <c r="E12" s="449"/>
      <c r="F12" s="449"/>
      <c r="G12" s="449"/>
      <c r="H12" s="449"/>
      <c r="I12" s="1006" t="e">
        <f t="shared" si="0"/>
        <v>#DIV/0!</v>
      </c>
      <c r="J12" s="432"/>
      <c r="K12" s="449"/>
      <c r="L12" s="449"/>
      <c r="M12" s="450"/>
      <c r="N12" s="450"/>
      <c r="O12" s="450"/>
      <c r="P12" s="450"/>
      <c r="Q12" s="450"/>
      <c r="R12" s="1006" t="e">
        <f t="shared" si="1"/>
        <v>#DIV/0!</v>
      </c>
    </row>
    <row r="13" spans="1:18" ht="16.5" customHeight="1" hidden="1" thickBot="1">
      <c r="A13" s="352"/>
      <c r="B13" s="451"/>
      <c r="C13" s="451"/>
      <c r="D13" s="451"/>
      <c r="E13" s="451"/>
      <c r="F13" s="451"/>
      <c r="G13" s="451"/>
      <c r="H13" s="451"/>
      <c r="I13" s="1013" t="e">
        <f t="shared" si="0"/>
        <v>#DIV/0!</v>
      </c>
      <c r="J13" s="433"/>
      <c r="K13" s="451"/>
      <c r="L13" s="451"/>
      <c r="M13" s="452"/>
      <c r="N13" s="452"/>
      <c r="O13" s="452"/>
      <c r="P13" s="452"/>
      <c r="Q13" s="452"/>
      <c r="R13" s="1013" t="e">
        <f t="shared" si="1"/>
        <v>#DIV/0!</v>
      </c>
    </row>
    <row r="14" spans="1:18" ht="24" customHeight="1" thickBot="1">
      <c r="A14" s="353" t="s">
        <v>192</v>
      </c>
      <c r="B14" s="453">
        <f aca="true" t="shared" si="2" ref="B14:G14">SUM(B6:B9)</f>
        <v>432167</v>
      </c>
      <c r="C14" s="453">
        <f t="shared" si="2"/>
        <v>440317</v>
      </c>
      <c r="D14" s="453">
        <f t="shared" si="2"/>
        <v>448377</v>
      </c>
      <c r="E14" s="453">
        <f t="shared" si="2"/>
        <v>456037</v>
      </c>
      <c r="F14" s="453">
        <f t="shared" si="2"/>
        <v>489980</v>
      </c>
      <c r="G14" s="453">
        <f t="shared" si="2"/>
        <v>542314</v>
      </c>
      <c r="H14" s="453">
        <f>SUM(H6:H9)</f>
        <v>533758</v>
      </c>
      <c r="I14" s="1014">
        <f t="shared" si="0"/>
        <v>0.9842231622270493</v>
      </c>
      <c r="J14" s="659" t="s">
        <v>193</v>
      </c>
      <c r="K14" s="453">
        <f aca="true" t="shared" si="3" ref="K14:P14">SUM(K6:K13)</f>
        <v>516612</v>
      </c>
      <c r="L14" s="453">
        <f t="shared" si="3"/>
        <v>515828</v>
      </c>
      <c r="M14" s="454">
        <f t="shared" si="3"/>
        <v>523888</v>
      </c>
      <c r="N14" s="454">
        <f t="shared" si="3"/>
        <v>531548</v>
      </c>
      <c r="O14" s="454">
        <f t="shared" si="3"/>
        <v>577652</v>
      </c>
      <c r="P14" s="454">
        <f t="shared" si="3"/>
        <v>603025</v>
      </c>
      <c r="Q14" s="454">
        <f>SUM(Q6:Q13)</f>
        <v>461914</v>
      </c>
      <c r="R14" s="1014">
        <f t="shared" si="1"/>
        <v>0.7659947763359728</v>
      </c>
    </row>
    <row r="15" spans="1:18" ht="18.75" customHeight="1">
      <c r="A15" s="354" t="s">
        <v>174</v>
      </c>
      <c r="B15" s="348">
        <f>'3.sz.m Önk  bev.'!E59+'5.1 sz. m Köz Hiv'!D22+'5.2 sz. m ÁMK'!D21</f>
        <v>84445</v>
      </c>
      <c r="C15" s="348">
        <f>'3.sz.m Önk  bev.'!F59+'5.1 sz. m Köz Hiv'!E22+'5.2 sz. m ÁMK'!E21</f>
        <v>84445</v>
      </c>
      <c r="D15" s="348">
        <f>'3.sz.m Önk  bev.'!G59+'5.1 sz. m Köz Hiv'!F22+'5.2 sz. m ÁMK'!F21</f>
        <v>84445</v>
      </c>
      <c r="E15" s="348">
        <f>'3.sz.m Önk  bev.'!H59+'5.1 sz. m Köz Hiv'!G22+'5.2 sz. m ÁMK'!G21</f>
        <v>84445</v>
      </c>
      <c r="F15" s="348">
        <f>'3.sz.m Önk  bev.'!I59+'5.1 sz. m Köz Hiv'!H22+'5.2 sz. m ÁMK'!H21</f>
        <v>96606</v>
      </c>
      <c r="G15" s="348">
        <f>'3.sz.m Önk  bev.'!J59+'5.1 sz. m Köz Hiv'!I22+'5.2 sz. m ÁMK'!I21</f>
        <v>95789</v>
      </c>
      <c r="H15" s="348">
        <f>'3.sz.m Önk  bev.'!K59+'5.1 sz. m Köz Hiv'!J22+'5.2 sz. m ÁMK'!J21</f>
        <v>95789</v>
      </c>
      <c r="I15" s="1015">
        <f t="shared" si="0"/>
        <v>1</v>
      </c>
      <c r="J15" s="429" t="s">
        <v>177</v>
      </c>
      <c r="K15" s="445">
        <v>0</v>
      </c>
      <c r="L15" s="445">
        <v>0</v>
      </c>
      <c r="M15" s="446">
        <v>0</v>
      </c>
      <c r="N15" s="446">
        <v>0</v>
      </c>
      <c r="O15" s="446">
        <v>0</v>
      </c>
      <c r="P15" s="446">
        <v>0</v>
      </c>
      <c r="Q15" s="446">
        <v>0</v>
      </c>
      <c r="R15" s="1015"/>
    </row>
    <row r="16" spans="1:18" ht="15" customHeight="1" thickBot="1">
      <c r="A16" s="355" t="s">
        <v>556</v>
      </c>
      <c r="B16" s="455"/>
      <c r="C16" s="455"/>
      <c r="D16" s="455"/>
      <c r="E16" s="455"/>
      <c r="F16" s="455"/>
      <c r="G16" s="455">
        <f>'3.sz.m Önk  bev.'!J58</f>
        <v>8964</v>
      </c>
      <c r="H16" s="455">
        <f>'3.sz.m Önk  bev.'!K58</f>
        <v>8964</v>
      </c>
      <c r="I16" s="1016">
        <f t="shared" si="0"/>
        <v>1</v>
      </c>
      <c r="J16" s="432" t="s">
        <v>512</v>
      </c>
      <c r="K16" s="449"/>
      <c r="L16" s="449">
        <f>'4.sz.m.ÖNK kiadás'!F36</f>
        <v>8934</v>
      </c>
      <c r="M16" s="449">
        <f>'4.sz.m.ÖNK kiadás'!G36</f>
        <v>8934</v>
      </c>
      <c r="N16" s="449">
        <f>'4.sz.m.ÖNK kiadás'!H36</f>
        <v>8934</v>
      </c>
      <c r="O16" s="449">
        <f>'4.sz.m.ÖNK kiadás'!I36</f>
        <v>8934</v>
      </c>
      <c r="P16" s="449">
        <f>'4.sz.m.ÖNK kiadás'!J36</f>
        <v>8934</v>
      </c>
      <c r="Q16" s="449">
        <f>'4.sz.m.ÖNK kiadás'!K36</f>
        <v>8934</v>
      </c>
      <c r="R16" s="1016">
        <f t="shared" si="1"/>
        <v>1</v>
      </c>
    </row>
    <row r="17" spans="1:18" ht="25.5" customHeight="1" thickBot="1">
      <c r="A17" s="356" t="s">
        <v>197</v>
      </c>
      <c r="B17" s="456">
        <f aca="true" t="shared" si="4" ref="B17:G17">SUM(B15:B16)</f>
        <v>84445</v>
      </c>
      <c r="C17" s="456">
        <f t="shared" si="4"/>
        <v>84445</v>
      </c>
      <c r="D17" s="456">
        <f t="shared" si="4"/>
        <v>84445</v>
      </c>
      <c r="E17" s="456">
        <f t="shared" si="4"/>
        <v>84445</v>
      </c>
      <c r="F17" s="456">
        <f t="shared" si="4"/>
        <v>96606</v>
      </c>
      <c r="G17" s="456">
        <f t="shared" si="4"/>
        <v>104753</v>
      </c>
      <c r="H17" s="456">
        <f>SUM(H15:H16)</f>
        <v>104753</v>
      </c>
      <c r="I17" s="1009">
        <f t="shared" si="0"/>
        <v>1</v>
      </c>
      <c r="J17" s="434" t="s">
        <v>204</v>
      </c>
      <c r="K17" s="456">
        <f aca="true" t="shared" si="5" ref="K17:P17">SUM(K15:K16)</f>
        <v>0</v>
      </c>
      <c r="L17" s="456">
        <f t="shared" si="5"/>
        <v>8934</v>
      </c>
      <c r="M17" s="457">
        <f t="shared" si="5"/>
        <v>8934</v>
      </c>
      <c r="N17" s="457">
        <f t="shared" si="5"/>
        <v>8934</v>
      </c>
      <c r="O17" s="457">
        <f t="shared" si="5"/>
        <v>8934</v>
      </c>
      <c r="P17" s="457">
        <f t="shared" si="5"/>
        <v>8934</v>
      </c>
      <c r="Q17" s="457">
        <f>SUM(Q15:Q16)</f>
        <v>8934</v>
      </c>
      <c r="R17" s="1009">
        <f t="shared" si="1"/>
        <v>1</v>
      </c>
    </row>
    <row r="18" spans="1:18" ht="22.5" customHeight="1" thickBot="1">
      <c r="A18" s="357" t="s">
        <v>176</v>
      </c>
      <c r="B18" s="458">
        <f aca="true" t="shared" si="6" ref="B18:G18">B14+B17</f>
        <v>516612</v>
      </c>
      <c r="C18" s="458">
        <f t="shared" si="6"/>
        <v>524762</v>
      </c>
      <c r="D18" s="458">
        <f t="shared" si="6"/>
        <v>532822</v>
      </c>
      <c r="E18" s="458">
        <f t="shared" si="6"/>
        <v>540482</v>
      </c>
      <c r="F18" s="458">
        <f t="shared" si="6"/>
        <v>586586</v>
      </c>
      <c r="G18" s="458">
        <f t="shared" si="6"/>
        <v>647067</v>
      </c>
      <c r="H18" s="458">
        <f>H14+H17</f>
        <v>638511</v>
      </c>
      <c r="I18" s="1007">
        <f t="shared" si="0"/>
        <v>0.9867772579964671</v>
      </c>
      <c r="J18" s="435" t="s">
        <v>178</v>
      </c>
      <c r="K18" s="458">
        <f aca="true" t="shared" si="7" ref="K18:P18">K14+K17</f>
        <v>516612</v>
      </c>
      <c r="L18" s="458">
        <f t="shared" si="7"/>
        <v>524762</v>
      </c>
      <c r="M18" s="459">
        <f t="shared" si="7"/>
        <v>532822</v>
      </c>
      <c r="N18" s="459">
        <f t="shared" si="7"/>
        <v>540482</v>
      </c>
      <c r="O18" s="459">
        <f t="shared" si="7"/>
        <v>586586</v>
      </c>
      <c r="P18" s="459">
        <f t="shared" si="7"/>
        <v>611959</v>
      </c>
      <c r="Q18" s="459">
        <f>Q14+Q17</f>
        <v>470848</v>
      </c>
      <c r="R18" s="1007">
        <f t="shared" si="1"/>
        <v>0.7694110226338693</v>
      </c>
    </row>
    <row r="19" spans="1:13" ht="22.5" customHeight="1" thickBot="1">
      <c r="A19" s="1176" t="s">
        <v>212</v>
      </c>
      <c r="B19" s="1177"/>
      <c r="C19" s="1177"/>
      <c r="D19" s="1177"/>
      <c r="E19" s="1177"/>
      <c r="F19" s="1177"/>
      <c r="G19" s="1177"/>
      <c r="H19" s="1177"/>
      <c r="I19" s="1177"/>
      <c r="J19" s="1176"/>
      <c r="K19" s="1177"/>
      <c r="L19" s="31"/>
      <c r="M19" s="31"/>
    </row>
    <row r="20" spans="1:18" ht="12.75">
      <c r="A20" s="349" t="s">
        <v>179</v>
      </c>
      <c r="B20" s="460">
        <f>'3.sz.m Önk  bev.'!E43+'5.1 sz. m Köz Hiv'!D14+'5.2 sz. m ÁMK'!D13</f>
        <v>35508</v>
      </c>
      <c r="C20" s="460">
        <f>'3.sz.m Önk  bev.'!F41+'5.1 sz. m Köz Hiv'!E14+'5.2 sz. m ÁMK'!E13</f>
        <v>35508</v>
      </c>
      <c r="D20" s="460">
        <f>'3.sz.m Önk  bev.'!G41+'5.1 sz. m Köz Hiv'!F14+'5.2 sz. m ÁMK'!F13</f>
        <v>35508</v>
      </c>
      <c r="E20" s="460">
        <f>'3.sz.m Önk  bev.'!H41+'5.1 sz. m Köz Hiv'!G14+'5.2 sz. m ÁMK'!G13</f>
        <v>35508</v>
      </c>
      <c r="F20" s="460">
        <f>'3.sz.m Önk  bev.'!I41+'5.1 sz. m Köz Hiv'!H14+'5.2 sz. m ÁMK'!H13</f>
        <v>35508</v>
      </c>
      <c r="G20" s="460">
        <f>'3.sz.m Önk  bev.'!J41+'5.1 sz. m Köz Hiv'!I14+'5.2 sz. m ÁMK'!I13</f>
        <v>32330</v>
      </c>
      <c r="H20" s="460">
        <f>'3.sz.m Önk  bev.'!K41+'5.1 sz. m Köz Hiv'!J14+'5.2 sz. m ÁMK'!J13</f>
        <v>32330</v>
      </c>
      <c r="I20" s="1005">
        <f t="shared" si="0"/>
        <v>1</v>
      </c>
      <c r="J20" s="436" t="s">
        <v>182</v>
      </c>
      <c r="K20" s="465">
        <f>'4.sz.m.ÖNK kiadás'!E18+'5.1 sz. m Köz Hiv'!D37+'5.2 sz. m ÁMK'!D36</f>
        <v>8476</v>
      </c>
      <c r="L20" s="465">
        <f>'4.sz.m.ÖNK kiadás'!F18+'5.1 sz. m Köz Hiv'!E37+'5.2 sz. m ÁMK'!E36</f>
        <v>8476</v>
      </c>
      <c r="M20" s="465">
        <f>'4.sz.m.ÖNK kiadás'!G18+'5.1 sz. m Köz Hiv'!F37+'5.2 sz. m ÁMK'!F36</f>
        <v>9225</v>
      </c>
      <c r="N20" s="465">
        <f>'4.sz.m.ÖNK kiadás'!H18+'5.1 sz. m Köz Hiv'!G37+'5.2 sz. m ÁMK'!G36</f>
        <v>9376</v>
      </c>
      <c r="O20" s="465">
        <f>'4.sz.m.ÖNK kiadás'!I18+'5.1 sz. m Köz Hiv'!H37+'5.2 sz. m ÁMK'!H36</f>
        <v>9376</v>
      </c>
      <c r="P20" s="465">
        <f>'4.sz.m.ÖNK kiadás'!J18+'5.1 sz. m Köz Hiv'!I37+'5.2 sz. m ÁMK'!I36</f>
        <v>9789</v>
      </c>
      <c r="Q20" s="465">
        <f>'4.sz.m.ÖNK kiadás'!K18+'5.1 sz. m Köz Hiv'!J37+'5.2 sz. m ÁMK'!J36</f>
        <v>3786</v>
      </c>
      <c r="R20" s="1005">
        <f>Q20/P20</f>
        <v>0.3867606497088569</v>
      </c>
    </row>
    <row r="21" spans="1:18" ht="12.75">
      <c r="A21" s="350" t="s">
        <v>180</v>
      </c>
      <c r="B21" s="447">
        <v>7931</v>
      </c>
      <c r="C21" s="447">
        <v>7931</v>
      </c>
      <c r="D21" s="447">
        <v>7931</v>
      </c>
      <c r="E21" s="447">
        <v>7931</v>
      </c>
      <c r="F21" s="447">
        <v>7931</v>
      </c>
      <c r="G21" s="447"/>
      <c r="H21" s="447"/>
      <c r="I21" s="1005"/>
      <c r="J21" s="430" t="s">
        <v>183</v>
      </c>
      <c r="K21" s="447">
        <f>'4.sz.m.ÖNK kiadás'!E19</f>
        <v>68030</v>
      </c>
      <c r="L21" s="447">
        <f>'4.sz.m.ÖNK kiadás'!F19+'5.2 sz. m ÁMK'!E38</f>
        <v>68030</v>
      </c>
      <c r="M21" s="447">
        <f>'4.sz.m.ÖNK kiadás'!G19+'5.2 sz. m ÁMK'!F38</f>
        <v>66531</v>
      </c>
      <c r="N21" s="447">
        <f>'4.sz.m.ÖNK kiadás'!H19+'5.2 sz. m ÁMK'!G38</f>
        <v>66380</v>
      </c>
      <c r="O21" s="447">
        <f>'4.sz.m.ÖNK kiadás'!I19+'5.2 sz. m ÁMK'!H38</f>
        <v>66382</v>
      </c>
      <c r="P21" s="447">
        <f>'4.sz.m.ÖNK kiadás'!J19+'5.2 sz. m ÁMK'!I38</f>
        <v>66382</v>
      </c>
      <c r="Q21" s="447">
        <f>'4.sz.m.ÖNK kiadás'!K19+'5.2 sz. m ÁMK'!J38</f>
        <v>65503</v>
      </c>
      <c r="R21" s="1005"/>
    </row>
    <row r="22" spans="1:18" ht="12.75">
      <c r="A22" s="350" t="s">
        <v>181</v>
      </c>
      <c r="B22" s="447">
        <f>'3.sz.m Önk  bev.'!E52</f>
        <v>2500</v>
      </c>
      <c r="C22" s="447">
        <f>'3.sz.m Önk  bev.'!F52</f>
        <v>2500</v>
      </c>
      <c r="D22" s="447">
        <f>'3.sz.m Önk  bev.'!G52</f>
        <v>2538</v>
      </c>
      <c r="E22" s="447">
        <f>'3.sz.m Önk  bev.'!H52</f>
        <v>2538</v>
      </c>
      <c r="F22" s="447">
        <f>'3.sz.m Önk  bev.'!I52</f>
        <v>2540</v>
      </c>
      <c r="G22" s="447">
        <f>'3.sz.m Önk  bev.'!J52+8804</f>
        <v>11346</v>
      </c>
      <c r="H22" s="447">
        <f>'3.sz.m Önk  bev.'!K52+7931</f>
        <v>10473</v>
      </c>
      <c r="I22" s="1005">
        <f t="shared" si="0"/>
        <v>0.9230565838180856</v>
      </c>
      <c r="J22" s="430" t="s">
        <v>184</v>
      </c>
      <c r="K22" s="447">
        <f>'4.sz.m.ÖNK kiadás'!E20</f>
        <v>1800</v>
      </c>
      <c r="L22" s="447">
        <f>'4.sz.m.ÖNK kiadás'!F20</f>
        <v>1800</v>
      </c>
      <c r="M22" s="447">
        <f>'4.sz.m.ÖNK kiadás'!G20</f>
        <v>2563</v>
      </c>
      <c r="N22" s="447">
        <f>'4.sz.m.ÖNK kiadás'!H20</f>
        <v>2563</v>
      </c>
      <c r="O22" s="447">
        <f>'4.sz.m.ÖNK kiadás'!I20</f>
        <v>2563</v>
      </c>
      <c r="P22" s="447">
        <f>'4.sz.m.ÖNK kiadás'!J20</f>
        <v>2613</v>
      </c>
      <c r="Q22" s="447">
        <f>'4.sz.m.ÖNK kiadás'!K20</f>
        <v>2611</v>
      </c>
      <c r="R22" s="1005">
        <f>Q22/P22</f>
        <v>0.9992345962495216</v>
      </c>
    </row>
    <row r="23" spans="1:18" ht="13.5" thickBot="1">
      <c r="A23" s="350"/>
      <c r="B23" s="447"/>
      <c r="C23" s="447"/>
      <c r="D23" s="447"/>
      <c r="E23" s="447"/>
      <c r="F23" s="447"/>
      <c r="G23" s="447"/>
      <c r="H23" s="447"/>
      <c r="I23" s="1014"/>
      <c r="J23" s="430" t="s">
        <v>191</v>
      </c>
      <c r="K23" s="447"/>
      <c r="L23" s="447"/>
      <c r="M23" s="448"/>
      <c r="N23" s="448"/>
      <c r="O23" s="448"/>
      <c r="P23" s="448"/>
      <c r="Q23" s="448"/>
      <c r="R23" s="1014"/>
    </row>
    <row r="24" spans="1:18" ht="13.5" hidden="1" thickBot="1">
      <c r="A24" s="359"/>
      <c r="B24" s="449"/>
      <c r="C24" s="449"/>
      <c r="D24" s="449"/>
      <c r="E24" s="449"/>
      <c r="F24" s="449"/>
      <c r="G24" s="449"/>
      <c r="H24" s="449"/>
      <c r="I24" s="1007"/>
      <c r="J24" s="432"/>
      <c r="K24" s="449"/>
      <c r="L24" s="449"/>
      <c r="M24" s="450"/>
      <c r="N24" s="450"/>
      <c r="O24" s="450"/>
      <c r="P24" s="450"/>
      <c r="Q24" s="450"/>
      <c r="R24" s="1007"/>
    </row>
    <row r="25" spans="1:18" ht="13.5" thickBot="1">
      <c r="A25" s="360" t="s">
        <v>195</v>
      </c>
      <c r="B25" s="458">
        <f aca="true" t="shared" si="8" ref="B25:G25">SUM(B20:B23)</f>
        <v>45939</v>
      </c>
      <c r="C25" s="458">
        <f t="shared" si="8"/>
        <v>45939</v>
      </c>
      <c r="D25" s="458">
        <f t="shared" si="8"/>
        <v>45977</v>
      </c>
      <c r="E25" s="458">
        <f t="shared" si="8"/>
        <v>45977</v>
      </c>
      <c r="F25" s="458">
        <f t="shared" si="8"/>
        <v>45979</v>
      </c>
      <c r="G25" s="458">
        <f t="shared" si="8"/>
        <v>43676</v>
      </c>
      <c r="H25" s="458">
        <f>SUM(H20:H23)</f>
        <v>42803</v>
      </c>
      <c r="I25" s="1015">
        <f>H25/G25</f>
        <v>0.9800119058521842</v>
      </c>
      <c r="J25" s="437" t="s">
        <v>194</v>
      </c>
      <c r="K25" s="469">
        <f aca="true" t="shared" si="9" ref="K25:P25">SUM(K20:K24)</f>
        <v>78306</v>
      </c>
      <c r="L25" s="469">
        <f t="shared" si="9"/>
        <v>78306</v>
      </c>
      <c r="M25" s="470">
        <f t="shared" si="9"/>
        <v>78319</v>
      </c>
      <c r="N25" s="470">
        <f t="shared" si="9"/>
        <v>78319</v>
      </c>
      <c r="O25" s="470">
        <f t="shared" si="9"/>
        <v>78321</v>
      </c>
      <c r="P25" s="470">
        <f t="shared" si="9"/>
        <v>78784</v>
      </c>
      <c r="Q25" s="470">
        <f>SUM(Q20:Q24)</f>
        <v>71900</v>
      </c>
      <c r="R25" s="1015">
        <f>Q25/P25</f>
        <v>0.9126218521527214</v>
      </c>
    </row>
    <row r="26" spans="1:18" ht="15" customHeight="1" thickBot="1">
      <c r="A26" s="354" t="s">
        <v>174</v>
      </c>
      <c r="B26" s="461"/>
      <c r="C26" s="461"/>
      <c r="D26" s="461"/>
      <c r="E26" s="461"/>
      <c r="F26" s="461"/>
      <c r="G26" s="461"/>
      <c r="H26" s="461"/>
      <c r="I26" s="1008"/>
      <c r="J26" s="438" t="s">
        <v>196</v>
      </c>
      <c r="K26" s="445"/>
      <c r="L26" s="445"/>
      <c r="M26" s="446"/>
      <c r="N26" s="446"/>
      <c r="O26" s="446"/>
      <c r="P26" s="446"/>
      <c r="Q26" s="446"/>
      <c r="R26" s="1008"/>
    </row>
    <row r="27" spans="1:18" ht="13.5" thickBot="1">
      <c r="A27" s="355" t="s">
        <v>175</v>
      </c>
      <c r="B27" s="462">
        <f>'3.sz.m Önk  bev.'!E57</f>
        <v>32367</v>
      </c>
      <c r="C27" s="462">
        <f>'3.sz.m Önk  bev.'!F57</f>
        <v>32367</v>
      </c>
      <c r="D27" s="462">
        <f>'3.sz.m Önk  bev.'!G57</f>
        <v>32342</v>
      </c>
      <c r="E27" s="462">
        <f>'3.sz.m Önk  bev.'!H57</f>
        <v>32342</v>
      </c>
      <c r="F27" s="462">
        <f>'3.sz.m Önk  bev.'!I57</f>
        <v>32342</v>
      </c>
      <c r="G27" s="462">
        <f>'3.sz.m Önk  bev.'!J57</f>
        <v>0</v>
      </c>
      <c r="H27" s="462">
        <f>'3.sz.m Önk  bev.'!K57</f>
        <v>0</v>
      </c>
      <c r="I27" s="1009"/>
      <c r="J27" s="439"/>
      <c r="K27" s="449"/>
      <c r="L27" s="449"/>
      <c r="M27" s="450"/>
      <c r="N27" s="450"/>
      <c r="O27" s="450"/>
      <c r="P27" s="450"/>
      <c r="Q27" s="450"/>
      <c r="R27" s="1009"/>
    </row>
    <row r="28" spans="1:18" ht="25.5" customHeight="1" thickBot="1">
      <c r="A28" s="361" t="s">
        <v>198</v>
      </c>
      <c r="B28" s="456">
        <f aca="true" t="shared" si="10" ref="B28:G28">SUM(B26:B27)</f>
        <v>32367</v>
      </c>
      <c r="C28" s="456">
        <f t="shared" si="10"/>
        <v>32367</v>
      </c>
      <c r="D28" s="456">
        <f t="shared" si="10"/>
        <v>32342</v>
      </c>
      <c r="E28" s="456">
        <f t="shared" si="10"/>
        <v>32342</v>
      </c>
      <c r="F28" s="456">
        <f t="shared" si="10"/>
        <v>32342</v>
      </c>
      <c r="G28" s="456">
        <f t="shared" si="10"/>
        <v>0</v>
      </c>
      <c r="H28" s="456">
        <f>SUM(H26:H27)</f>
        <v>0</v>
      </c>
      <c r="I28" s="1007"/>
      <c r="J28" s="437" t="s">
        <v>199</v>
      </c>
      <c r="K28" s="458">
        <f aca="true" t="shared" si="11" ref="K28:P28">SUM(K26:K27)</f>
        <v>0</v>
      </c>
      <c r="L28" s="458">
        <f t="shared" si="11"/>
        <v>0</v>
      </c>
      <c r="M28" s="459">
        <f t="shared" si="11"/>
        <v>0</v>
      </c>
      <c r="N28" s="459">
        <f t="shared" si="11"/>
        <v>0</v>
      </c>
      <c r="O28" s="459">
        <f t="shared" si="11"/>
        <v>0</v>
      </c>
      <c r="P28" s="459">
        <f t="shared" si="11"/>
        <v>0</v>
      </c>
      <c r="Q28" s="459">
        <f>SUM(Q26:Q27)</f>
        <v>0</v>
      </c>
      <c r="R28" s="1007"/>
    </row>
    <row r="29" spans="1:18" ht="26.25" customHeight="1" thickBot="1">
      <c r="A29" s="358" t="s">
        <v>200</v>
      </c>
      <c r="B29" s="458">
        <f aca="true" t="shared" si="12" ref="B29:G29">B25+B28</f>
        <v>78306</v>
      </c>
      <c r="C29" s="458">
        <f t="shared" si="12"/>
        <v>78306</v>
      </c>
      <c r="D29" s="458">
        <f t="shared" si="12"/>
        <v>78319</v>
      </c>
      <c r="E29" s="458">
        <f t="shared" si="12"/>
        <v>78319</v>
      </c>
      <c r="F29" s="458">
        <f t="shared" si="12"/>
        <v>78321</v>
      </c>
      <c r="G29" s="458">
        <f t="shared" si="12"/>
        <v>43676</v>
      </c>
      <c r="H29" s="458">
        <f>H25+H28</f>
        <v>42803</v>
      </c>
      <c r="I29" s="1010">
        <f>H29/G29</f>
        <v>0.9800119058521842</v>
      </c>
      <c r="J29" s="440" t="s">
        <v>201</v>
      </c>
      <c r="K29" s="458">
        <f aca="true" t="shared" si="13" ref="K29:P29">K28+K25</f>
        <v>78306</v>
      </c>
      <c r="L29" s="458">
        <f t="shared" si="13"/>
        <v>78306</v>
      </c>
      <c r="M29" s="459">
        <f t="shared" si="13"/>
        <v>78319</v>
      </c>
      <c r="N29" s="459">
        <f t="shared" si="13"/>
        <v>78319</v>
      </c>
      <c r="O29" s="459">
        <f t="shared" si="13"/>
        <v>78321</v>
      </c>
      <c r="P29" s="459">
        <f t="shared" si="13"/>
        <v>78784</v>
      </c>
      <c r="Q29" s="459">
        <f>Q28+Q25</f>
        <v>71900</v>
      </c>
      <c r="R29" s="1010">
        <f>Q29/P29</f>
        <v>0.9126218521527214</v>
      </c>
    </row>
    <row r="30" spans="1:18" ht="26.25" customHeight="1" hidden="1" thickBot="1">
      <c r="A30" s="358" t="s">
        <v>258</v>
      </c>
      <c r="B30" s="463"/>
      <c r="C30" s="463"/>
      <c r="D30" s="463"/>
      <c r="E30" s="463"/>
      <c r="F30" s="463"/>
      <c r="G30" s="463"/>
      <c r="H30" s="463"/>
      <c r="I30" s="1011"/>
      <c r="J30" s="440" t="s">
        <v>257</v>
      </c>
      <c r="K30" s="458"/>
      <c r="L30" s="458"/>
      <c r="M30" s="459"/>
      <c r="N30" s="459"/>
      <c r="O30" s="459"/>
      <c r="P30" s="459"/>
      <c r="Q30" s="459"/>
      <c r="R30" s="1011"/>
    </row>
    <row r="31" spans="1:18" ht="29.25" customHeight="1" thickBot="1">
      <c r="A31" s="362" t="s">
        <v>202</v>
      </c>
      <c r="B31" s="464">
        <f aca="true" t="shared" si="14" ref="B31:G31">B18+B29</f>
        <v>594918</v>
      </c>
      <c r="C31" s="464">
        <f t="shared" si="14"/>
        <v>603068</v>
      </c>
      <c r="D31" s="464">
        <f t="shared" si="14"/>
        <v>611141</v>
      </c>
      <c r="E31" s="464">
        <f t="shared" si="14"/>
        <v>618801</v>
      </c>
      <c r="F31" s="464">
        <f t="shared" si="14"/>
        <v>664907</v>
      </c>
      <c r="G31" s="464">
        <f t="shared" si="14"/>
        <v>690743</v>
      </c>
      <c r="H31" s="464">
        <f>H18+H29</f>
        <v>681314</v>
      </c>
      <c r="I31" s="1017">
        <f>H31/G31</f>
        <v>0.986349481645127</v>
      </c>
      <c r="J31" s="441" t="s">
        <v>203</v>
      </c>
      <c r="K31" s="471">
        <f aca="true" t="shared" si="15" ref="K31:P31">K29+K18</f>
        <v>594918</v>
      </c>
      <c r="L31" s="471">
        <f t="shared" si="15"/>
        <v>603068</v>
      </c>
      <c r="M31" s="472">
        <f t="shared" si="15"/>
        <v>611141</v>
      </c>
      <c r="N31" s="472">
        <f t="shared" si="15"/>
        <v>618801</v>
      </c>
      <c r="O31" s="472">
        <f t="shared" si="15"/>
        <v>664907</v>
      </c>
      <c r="P31" s="472">
        <f t="shared" si="15"/>
        <v>690743</v>
      </c>
      <c r="Q31" s="472">
        <f>Q29+Q18</f>
        <v>542748</v>
      </c>
      <c r="R31" s="1017">
        <f>Q31/P31</f>
        <v>0.7857452048012068</v>
      </c>
    </row>
    <row r="33" spans="2:11" ht="12.75">
      <c r="B33" s="31"/>
      <c r="C33" s="31"/>
      <c r="D33" s="31"/>
      <c r="E33" s="31"/>
      <c r="F33" s="31"/>
      <c r="G33" s="31"/>
      <c r="H33" s="31"/>
      <c r="I33" s="31"/>
      <c r="K33" s="31"/>
    </row>
    <row r="34" spans="6:15" ht="12.75">
      <c r="F34" s="31"/>
      <c r="O34" s="31"/>
    </row>
    <row r="35" spans="8:17" ht="12.75">
      <c r="H35" s="31"/>
      <c r="I35" s="31"/>
      <c r="Q35" s="31"/>
    </row>
  </sheetData>
  <sheetProtection/>
  <mergeCells count="4">
    <mergeCell ref="J1:K1"/>
    <mergeCell ref="A2:K2"/>
    <mergeCell ref="A19:K19"/>
    <mergeCell ref="A4:K4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1"/>
  <sheetViews>
    <sheetView zoomScale="85" zoomScaleNormal="85" zoomScalePageLayoutView="0" workbookViewId="0" topLeftCell="A46">
      <selection activeCell="S62" sqref="S62"/>
    </sheetView>
  </sheetViews>
  <sheetFormatPr defaultColWidth="9.140625" defaultRowHeight="12.75"/>
  <cols>
    <col min="1" max="2" width="5.7109375" style="101" customWidth="1"/>
    <col min="3" max="3" width="8.8515625" style="101" customWidth="1"/>
    <col min="4" max="4" width="56.00390625" style="20" bestFit="1" customWidth="1"/>
    <col min="5" max="5" width="14.28125" style="340" customWidth="1"/>
    <col min="6" max="7" width="13.00390625" style="340" hidden="1" customWidth="1"/>
    <col min="8" max="8" width="15.57421875" style="340" hidden="1" customWidth="1"/>
    <col min="9" max="9" width="13.7109375" style="340" hidden="1" customWidth="1"/>
    <col min="10" max="11" width="13.7109375" style="340" customWidth="1"/>
    <col min="12" max="12" width="13.140625" style="340" customWidth="1"/>
    <col min="13" max="13" width="14.7109375" style="341" customWidth="1"/>
    <col min="14" max="15" width="13.00390625" style="341" hidden="1" customWidth="1"/>
    <col min="16" max="17" width="10.8515625" style="341" hidden="1" customWidth="1"/>
    <col min="18" max="20" width="10.8515625" style="341" customWidth="1"/>
    <col min="21" max="21" width="14.7109375" style="342" customWidth="1"/>
    <col min="22" max="22" width="11.8515625" style="341" hidden="1" customWidth="1"/>
    <col min="23" max="23" width="8.8515625" style="341" hidden="1" customWidth="1"/>
    <col min="24" max="24" width="11.00390625" style="341" hidden="1" customWidth="1"/>
    <col min="25" max="25" width="12.7109375" style="342" hidden="1" customWidth="1"/>
    <col min="26" max="27" width="12.7109375" style="342" customWidth="1"/>
    <col min="28" max="28" width="11.8515625" style="342" customWidth="1"/>
    <col min="29" max="16384" width="9.140625" style="342" customWidth="1"/>
  </cols>
  <sheetData>
    <row r="1" spans="1:21" ht="12.75">
      <c r="A1" s="98"/>
      <c r="B1" s="98"/>
      <c r="C1" s="98"/>
      <c r="D1" s="99"/>
      <c r="U1" s="58" t="s">
        <v>59</v>
      </c>
    </row>
    <row r="2" spans="1:24" s="344" customFormat="1" ht="34.5" customHeight="1">
      <c r="A2" s="1124" t="s">
        <v>505</v>
      </c>
      <c r="B2" s="1124"/>
      <c r="C2" s="1124"/>
      <c r="D2" s="1124"/>
      <c r="E2" s="1124"/>
      <c r="F2" s="1124"/>
      <c r="G2" s="1124"/>
      <c r="H2" s="1124"/>
      <c r="I2" s="1124"/>
      <c r="J2" s="1124"/>
      <c r="K2" s="1124"/>
      <c r="L2" s="1124"/>
      <c r="M2" s="1124"/>
      <c r="N2" s="1124"/>
      <c r="O2" s="1124"/>
      <c r="P2" s="1124"/>
      <c r="Q2" s="1124"/>
      <c r="R2" s="1124"/>
      <c r="S2" s="1124"/>
      <c r="T2" s="1124"/>
      <c r="U2" s="1124"/>
      <c r="V2" s="256"/>
      <c r="W2" s="343"/>
      <c r="X2" s="343"/>
    </row>
    <row r="3" spans="1:21" ht="13.5" thickBot="1">
      <c r="A3" s="100"/>
      <c r="B3" s="100"/>
      <c r="C3" s="100"/>
      <c r="D3" s="96"/>
      <c r="M3" s="82"/>
      <c r="N3" s="82"/>
      <c r="O3" s="82"/>
      <c r="P3" s="82"/>
      <c r="Q3" s="82"/>
      <c r="R3" s="82"/>
      <c r="S3" s="82"/>
      <c r="T3" s="82"/>
      <c r="U3" s="43" t="s">
        <v>2</v>
      </c>
    </row>
    <row r="4" spans="1:28" ht="45.75" customHeight="1" thickBot="1">
      <c r="A4" s="1125" t="s">
        <v>6</v>
      </c>
      <c r="B4" s="1126"/>
      <c r="C4" s="1126"/>
      <c r="D4" s="345" t="s">
        <v>9</v>
      </c>
      <c r="E4" s="1121" t="s">
        <v>5</v>
      </c>
      <c r="F4" s="1122"/>
      <c r="G4" s="1122"/>
      <c r="H4" s="1122"/>
      <c r="I4" s="1122"/>
      <c r="J4" s="1122"/>
      <c r="K4" s="1122"/>
      <c r="L4" s="1123"/>
      <c r="M4" s="1121" t="s">
        <v>67</v>
      </c>
      <c r="N4" s="1122"/>
      <c r="O4" s="1122"/>
      <c r="P4" s="1122"/>
      <c r="Q4" s="1122"/>
      <c r="R4" s="1122"/>
      <c r="S4" s="1122"/>
      <c r="T4" s="1123"/>
      <c r="U4" s="1121" t="s">
        <v>68</v>
      </c>
      <c r="V4" s="1122"/>
      <c r="W4" s="1122"/>
      <c r="X4" s="1122"/>
      <c r="Y4" s="1122"/>
      <c r="Z4" s="1122"/>
      <c r="AA4" s="1122"/>
      <c r="AB4" s="1123"/>
    </row>
    <row r="5" spans="1:28" ht="45.75" customHeight="1" thickBot="1">
      <c r="A5" s="322"/>
      <c r="B5" s="323"/>
      <c r="C5" s="323"/>
      <c r="D5" s="345"/>
      <c r="E5" s="380" t="s">
        <v>71</v>
      </c>
      <c r="F5" s="381" t="s">
        <v>244</v>
      </c>
      <c r="G5" s="381" t="s">
        <v>249</v>
      </c>
      <c r="H5" s="381" t="s">
        <v>252</v>
      </c>
      <c r="I5" s="381" t="s">
        <v>537</v>
      </c>
      <c r="J5" s="345" t="s">
        <v>541</v>
      </c>
      <c r="K5" s="345" t="s">
        <v>254</v>
      </c>
      <c r="L5" s="810" t="s">
        <v>527</v>
      </c>
      <c r="M5" s="380" t="s">
        <v>71</v>
      </c>
      <c r="N5" s="381" t="s">
        <v>244</v>
      </c>
      <c r="O5" s="381" t="s">
        <v>249</v>
      </c>
      <c r="P5" s="381" t="s">
        <v>252</v>
      </c>
      <c r="Q5" s="381" t="s">
        <v>537</v>
      </c>
      <c r="R5" s="381" t="s">
        <v>549</v>
      </c>
      <c r="S5" s="345" t="s">
        <v>254</v>
      </c>
      <c r="T5" s="810" t="s">
        <v>527</v>
      </c>
      <c r="U5" s="380" t="s">
        <v>71</v>
      </c>
      <c r="V5" s="381" t="s">
        <v>244</v>
      </c>
      <c r="W5" s="381" t="s">
        <v>249</v>
      </c>
      <c r="X5" s="381" t="s">
        <v>252</v>
      </c>
      <c r="Y5" s="381" t="s">
        <v>537</v>
      </c>
      <c r="Z5" s="381" t="s">
        <v>549</v>
      </c>
      <c r="AA5" s="345" t="s">
        <v>254</v>
      </c>
      <c r="AB5" s="810" t="s">
        <v>527</v>
      </c>
    </row>
    <row r="6" spans="1:28" s="7" customFormat="1" ht="21.75" customHeight="1" thickBot="1">
      <c r="A6" s="111"/>
      <c r="B6" s="1104"/>
      <c r="C6" s="1104"/>
      <c r="D6" s="1104"/>
      <c r="E6" s="383"/>
      <c r="F6" s="297"/>
      <c r="G6" s="297"/>
      <c r="H6" s="297"/>
      <c r="I6" s="297"/>
      <c r="J6" s="817"/>
      <c r="K6" s="817"/>
      <c r="L6" s="817"/>
      <c r="M6" s="383"/>
      <c r="N6" s="297"/>
      <c r="O6" s="297"/>
      <c r="P6" s="297"/>
      <c r="Q6" s="297"/>
      <c r="R6" s="297"/>
      <c r="S6" s="297"/>
      <c r="T6" s="297"/>
      <c r="U6" s="383"/>
      <c r="V6" s="297"/>
      <c r="W6" s="297"/>
      <c r="X6" s="297"/>
      <c r="Y6" s="297"/>
      <c r="Z6" s="297"/>
      <c r="AA6" s="297"/>
      <c r="AB6" s="297"/>
    </row>
    <row r="7" spans="1:28" s="7" customFormat="1" ht="21.75" customHeight="1" thickBot="1">
      <c r="A7" s="111" t="s">
        <v>30</v>
      </c>
      <c r="B7" s="1104" t="s">
        <v>311</v>
      </c>
      <c r="C7" s="1104"/>
      <c r="D7" s="1104"/>
      <c r="E7" s="383">
        <f aca="true" t="shared" si="0" ref="E7:K7">E8+E13+E16+E17+E20</f>
        <v>122044</v>
      </c>
      <c r="F7" s="383">
        <f t="shared" si="0"/>
        <v>122044</v>
      </c>
      <c r="G7" s="383">
        <f t="shared" si="0"/>
        <v>122044</v>
      </c>
      <c r="H7" s="383">
        <f t="shared" si="0"/>
        <v>123344</v>
      </c>
      <c r="I7" s="383">
        <f t="shared" si="0"/>
        <v>150156</v>
      </c>
      <c r="J7" s="383">
        <f t="shared" si="0"/>
        <v>199145</v>
      </c>
      <c r="K7" s="383">
        <f t="shared" si="0"/>
        <v>192047</v>
      </c>
      <c r="L7" s="945">
        <f>K7/J7</f>
        <v>0.964357628863391</v>
      </c>
      <c r="M7" s="383">
        <f aca="true" t="shared" si="1" ref="M7:R7">M8+M13+M16+M17+M20</f>
        <v>101209</v>
      </c>
      <c r="N7" s="383">
        <f t="shared" si="1"/>
        <v>101209</v>
      </c>
      <c r="O7" s="383">
        <f t="shared" si="1"/>
        <v>101139</v>
      </c>
      <c r="P7" s="383">
        <f t="shared" si="1"/>
        <v>102439</v>
      </c>
      <c r="Q7" s="383">
        <f t="shared" si="1"/>
        <v>129251</v>
      </c>
      <c r="R7" s="383">
        <f t="shared" si="1"/>
        <v>178924</v>
      </c>
      <c r="S7" s="383">
        <f>S8+S13+S16+S17+S20</f>
        <v>175201</v>
      </c>
      <c r="T7" s="945">
        <f>S7/R7</f>
        <v>0.9791922827569247</v>
      </c>
      <c r="U7" s="383">
        <f aca="true" t="shared" si="2" ref="U7:Z7">U8+U13+U16</f>
        <v>20835</v>
      </c>
      <c r="V7" s="383">
        <f t="shared" si="2"/>
        <v>20835</v>
      </c>
      <c r="W7" s="383">
        <f t="shared" si="2"/>
        <v>20905</v>
      </c>
      <c r="X7" s="383">
        <f t="shared" si="2"/>
        <v>20905</v>
      </c>
      <c r="Y7" s="383">
        <f t="shared" si="2"/>
        <v>20905</v>
      </c>
      <c r="Z7" s="383">
        <f t="shared" si="2"/>
        <v>20221</v>
      </c>
      <c r="AA7" s="383">
        <f>AA8+AA13+AA16</f>
        <v>16846</v>
      </c>
      <c r="AB7" s="945">
        <f>AA7/Z7</f>
        <v>0.8330943078977301</v>
      </c>
    </row>
    <row r="8" spans="1:28" ht="21.75" customHeight="1">
      <c r="A8" s="656"/>
      <c r="B8" s="258" t="s">
        <v>39</v>
      </c>
      <c r="C8" s="1131" t="s">
        <v>312</v>
      </c>
      <c r="D8" s="1131"/>
      <c r="E8" s="481">
        <f aca="true" t="shared" si="3" ref="E8:K8">SUM(E9:E12)</f>
        <v>18200</v>
      </c>
      <c r="F8" s="481">
        <f t="shared" si="3"/>
        <v>18200</v>
      </c>
      <c r="G8" s="481">
        <f t="shared" si="3"/>
        <v>18200</v>
      </c>
      <c r="H8" s="481">
        <f t="shared" si="3"/>
        <v>18200</v>
      </c>
      <c r="I8" s="481">
        <f t="shared" si="3"/>
        <v>18353</v>
      </c>
      <c r="J8" s="481">
        <f t="shared" si="3"/>
        <v>18861</v>
      </c>
      <c r="K8" s="481">
        <f t="shared" si="3"/>
        <v>18501</v>
      </c>
      <c r="L8" s="820">
        <f>K8/J8</f>
        <v>0.9809129950691904</v>
      </c>
      <c r="M8" s="481">
        <f aca="true" t="shared" si="4" ref="M8:R8">SUM(M9:M12)</f>
        <v>18200</v>
      </c>
      <c r="N8" s="481">
        <f t="shared" si="4"/>
        <v>18200</v>
      </c>
      <c r="O8" s="481">
        <f t="shared" si="4"/>
        <v>18200</v>
      </c>
      <c r="P8" s="481">
        <f t="shared" si="4"/>
        <v>18200</v>
      </c>
      <c r="Q8" s="481">
        <f t="shared" si="4"/>
        <v>18353</v>
      </c>
      <c r="R8" s="481">
        <f t="shared" si="4"/>
        <v>18861</v>
      </c>
      <c r="S8" s="481">
        <f>SUM(S9:S12)</f>
        <v>18501</v>
      </c>
      <c r="T8" s="820">
        <f>S8/R8</f>
        <v>0.9809129950691904</v>
      </c>
      <c r="U8" s="481"/>
      <c r="V8" s="481"/>
      <c r="W8" s="481"/>
      <c r="X8" s="481"/>
      <c r="Y8" s="481"/>
      <c r="Z8" s="481"/>
      <c r="AA8" s="481"/>
      <c r="AB8" s="820"/>
    </row>
    <row r="9" spans="1:28" ht="21.75" customHeight="1">
      <c r="A9" s="108"/>
      <c r="B9" s="104"/>
      <c r="C9" s="104" t="s">
        <v>317</v>
      </c>
      <c r="D9" s="346" t="s">
        <v>313</v>
      </c>
      <c r="E9" s="385"/>
      <c r="F9" s="385"/>
      <c r="G9" s="385"/>
      <c r="H9" s="385"/>
      <c r="I9" s="385"/>
      <c r="J9" s="963"/>
      <c r="K9" s="995"/>
      <c r="L9" s="821"/>
      <c r="M9" s="385"/>
      <c r="N9" s="385"/>
      <c r="O9" s="385"/>
      <c r="P9" s="385"/>
      <c r="Q9" s="385"/>
      <c r="R9" s="385"/>
      <c r="S9" s="385"/>
      <c r="T9" s="821"/>
      <c r="U9" s="385"/>
      <c r="V9" s="385"/>
      <c r="W9" s="385"/>
      <c r="X9" s="385"/>
      <c r="Y9" s="385"/>
      <c r="Z9" s="385"/>
      <c r="AA9" s="385"/>
      <c r="AB9" s="821"/>
    </row>
    <row r="10" spans="1:28" ht="21.75" customHeight="1">
      <c r="A10" s="108"/>
      <c r="B10" s="104"/>
      <c r="C10" s="104" t="s">
        <v>318</v>
      </c>
      <c r="D10" s="346" t="s">
        <v>296</v>
      </c>
      <c r="E10" s="385"/>
      <c r="F10" s="385"/>
      <c r="G10" s="385"/>
      <c r="H10" s="385"/>
      <c r="I10" s="385"/>
      <c r="J10" s="963"/>
      <c r="K10" s="995"/>
      <c r="L10" s="821"/>
      <c r="M10" s="385"/>
      <c r="N10" s="385"/>
      <c r="O10" s="385"/>
      <c r="P10" s="385"/>
      <c r="Q10" s="385"/>
      <c r="R10" s="385"/>
      <c r="S10" s="385"/>
      <c r="T10" s="821"/>
      <c r="U10" s="385"/>
      <c r="V10" s="385"/>
      <c r="W10" s="385"/>
      <c r="X10" s="385"/>
      <c r="Y10" s="385"/>
      <c r="Z10" s="385"/>
      <c r="AA10" s="385"/>
      <c r="AB10" s="821"/>
    </row>
    <row r="11" spans="1:28" ht="21.75" customHeight="1">
      <c r="A11" s="108"/>
      <c r="B11" s="104"/>
      <c r="C11" s="104" t="s">
        <v>319</v>
      </c>
      <c r="D11" s="346" t="s">
        <v>295</v>
      </c>
      <c r="E11" s="385">
        <v>18200</v>
      </c>
      <c r="F11" s="385">
        <v>18200</v>
      </c>
      <c r="G11" s="385">
        <v>18200</v>
      </c>
      <c r="H11" s="385">
        <v>18200</v>
      </c>
      <c r="I11" s="385">
        <f>18200+153</f>
        <v>18353</v>
      </c>
      <c r="J11" s="963">
        <v>18861</v>
      </c>
      <c r="K11" s="995">
        <v>18501</v>
      </c>
      <c r="L11" s="821">
        <f>K11/J11</f>
        <v>0.9809129950691904</v>
      </c>
      <c r="M11" s="385">
        <v>18200</v>
      </c>
      <c r="N11" s="385">
        <v>18200</v>
      </c>
      <c r="O11" s="385">
        <v>18200</v>
      </c>
      <c r="P11" s="388">
        <f>H11</f>
        <v>18200</v>
      </c>
      <c r="Q11" s="388">
        <f>I11</f>
        <v>18353</v>
      </c>
      <c r="R11" s="388">
        <f>J11</f>
        <v>18861</v>
      </c>
      <c r="S11" s="388">
        <f>K11</f>
        <v>18501</v>
      </c>
      <c r="T11" s="821">
        <f>S11/R11</f>
        <v>0.9809129950691904</v>
      </c>
      <c r="U11" s="385"/>
      <c r="V11" s="385"/>
      <c r="W11" s="385"/>
      <c r="X11" s="385"/>
      <c r="Y11" s="385"/>
      <c r="Z11" s="385"/>
      <c r="AA11" s="385"/>
      <c r="AB11" s="821"/>
    </row>
    <row r="12" spans="1:38" ht="21.75" customHeight="1" hidden="1">
      <c r="A12" s="108"/>
      <c r="B12" s="104"/>
      <c r="C12" s="104"/>
      <c r="D12" s="346"/>
      <c r="E12" s="385"/>
      <c r="F12" s="385"/>
      <c r="G12" s="385"/>
      <c r="H12" s="385"/>
      <c r="I12" s="385"/>
      <c r="J12" s="963"/>
      <c r="K12" s="995"/>
      <c r="L12" s="821" t="e">
        <f>K12/J12</f>
        <v>#DIV/0!</v>
      </c>
      <c r="M12" s="385"/>
      <c r="N12" s="385"/>
      <c r="O12" s="385"/>
      <c r="P12" s="385"/>
      <c r="Q12" s="385"/>
      <c r="R12" s="385"/>
      <c r="S12" s="385"/>
      <c r="T12" s="821" t="e">
        <f aca="true" t="shared" si="5" ref="T12:T20">S12/R12</f>
        <v>#DIV/0!</v>
      </c>
      <c r="U12" s="385"/>
      <c r="V12" s="385"/>
      <c r="W12" s="385"/>
      <c r="X12" s="385"/>
      <c r="Y12" s="385"/>
      <c r="Z12" s="385"/>
      <c r="AA12" s="385"/>
      <c r="AB12" s="821" t="e">
        <f>AA12/Z12</f>
        <v>#DIV/0!</v>
      </c>
      <c r="AL12" s="342" t="s">
        <v>265</v>
      </c>
    </row>
    <row r="13" spans="1:28" ht="21.75" customHeight="1">
      <c r="A13" s="108"/>
      <c r="B13" s="104" t="s">
        <v>40</v>
      </c>
      <c r="C13" s="1115" t="s">
        <v>314</v>
      </c>
      <c r="D13" s="1115"/>
      <c r="E13" s="385">
        <f aca="true" t="shared" si="6" ref="E13:K13">SUM(E14:E15)</f>
        <v>90000</v>
      </c>
      <c r="F13" s="385">
        <f t="shared" si="6"/>
        <v>90000</v>
      </c>
      <c r="G13" s="385">
        <f t="shared" si="6"/>
        <v>90000</v>
      </c>
      <c r="H13" s="385">
        <f t="shared" si="6"/>
        <v>90000</v>
      </c>
      <c r="I13" s="385">
        <f t="shared" si="6"/>
        <v>115686</v>
      </c>
      <c r="J13" s="385">
        <f t="shared" si="6"/>
        <v>159824</v>
      </c>
      <c r="K13" s="385">
        <f t="shared" si="6"/>
        <v>155351</v>
      </c>
      <c r="L13" s="821">
        <f>K13/J13</f>
        <v>0.9720129642606867</v>
      </c>
      <c r="M13" s="385">
        <f aca="true" t="shared" si="7" ref="M13:R13">SUM(M14:M15)</f>
        <v>69165</v>
      </c>
      <c r="N13" s="385">
        <f t="shared" si="7"/>
        <v>69165</v>
      </c>
      <c r="O13" s="385">
        <f t="shared" si="7"/>
        <v>69095</v>
      </c>
      <c r="P13" s="385">
        <f t="shared" si="7"/>
        <v>69095</v>
      </c>
      <c r="Q13" s="385">
        <f t="shared" si="7"/>
        <v>94781</v>
      </c>
      <c r="R13" s="385">
        <f t="shared" si="7"/>
        <v>139603</v>
      </c>
      <c r="S13" s="385">
        <f>SUM(S14:S15)</f>
        <v>138505</v>
      </c>
      <c r="T13" s="821">
        <f t="shared" si="5"/>
        <v>0.9921348395091796</v>
      </c>
      <c r="U13" s="385">
        <f aca="true" t="shared" si="8" ref="U13:Z13">SUM(U14:U15)</f>
        <v>20835</v>
      </c>
      <c r="V13" s="385">
        <f t="shared" si="8"/>
        <v>20835</v>
      </c>
      <c r="W13" s="385">
        <f t="shared" si="8"/>
        <v>20905</v>
      </c>
      <c r="X13" s="385">
        <f t="shared" si="8"/>
        <v>20905</v>
      </c>
      <c r="Y13" s="385">
        <f t="shared" si="8"/>
        <v>20905</v>
      </c>
      <c r="Z13" s="385">
        <f t="shared" si="8"/>
        <v>20221</v>
      </c>
      <c r="AA13" s="385">
        <f>SUM(AA14:AA15)</f>
        <v>16846</v>
      </c>
      <c r="AB13" s="821">
        <f>AA13/Z13</f>
        <v>0.8330943078977301</v>
      </c>
    </row>
    <row r="14" spans="1:28" ht="21.75" customHeight="1">
      <c r="A14" s="108"/>
      <c r="B14" s="104"/>
      <c r="C14" s="104" t="s">
        <v>315</v>
      </c>
      <c r="D14" s="599" t="s">
        <v>320</v>
      </c>
      <c r="E14" s="385">
        <v>90000</v>
      </c>
      <c r="F14" s="385">
        <v>90000</v>
      </c>
      <c r="G14" s="385">
        <v>90000</v>
      </c>
      <c r="H14" s="385">
        <v>90000</v>
      </c>
      <c r="I14" s="385">
        <f>90000+25354+332</f>
        <v>115686</v>
      </c>
      <c r="J14" s="963">
        <v>159824</v>
      </c>
      <c r="K14" s="995">
        <v>155351</v>
      </c>
      <c r="L14" s="821">
        <f aca="true" t="shared" si="9" ref="L14:L20">K14/J14</f>
        <v>0.9720129642606867</v>
      </c>
      <c r="M14" s="385">
        <f aca="true" t="shared" si="10" ref="M14:S14">E14-U14</f>
        <v>69165</v>
      </c>
      <c r="N14" s="385">
        <f t="shared" si="10"/>
        <v>69165</v>
      </c>
      <c r="O14" s="385">
        <f t="shared" si="10"/>
        <v>69095</v>
      </c>
      <c r="P14" s="385">
        <f t="shared" si="10"/>
        <v>69095</v>
      </c>
      <c r="Q14" s="385">
        <f t="shared" si="10"/>
        <v>94781</v>
      </c>
      <c r="R14" s="385">
        <f t="shared" si="10"/>
        <v>139603</v>
      </c>
      <c r="S14" s="385">
        <f t="shared" si="10"/>
        <v>138505</v>
      </c>
      <c r="T14" s="821">
        <f t="shared" si="5"/>
        <v>0.9921348395091796</v>
      </c>
      <c r="U14" s="385">
        <v>20835</v>
      </c>
      <c r="V14" s="385">
        <v>20835</v>
      </c>
      <c r="W14" s="385">
        <v>20905</v>
      </c>
      <c r="X14" s="385">
        <v>20905</v>
      </c>
      <c r="Y14" s="385">
        <v>20905</v>
      </c>
      <c r="Z14" s="385">
        <f>20984-763</f>
        <v>20221</v>
      </c>
      <c r="AA14" s="385">
        <v>16846</v>
      </c>
      <c r="AB14" s="821">
        <f>AA14/Z14</f>
        <v>0.8330943078977301</v>
      </c>
    </row>
    <row r="15" spans="1:28" ht="21.75" customHeight="1">
      <c r="A15" s="108"/>
      <c r="B15" s="104"/>
      <c r="C15" s="104" t="s">
        <v>316</v>
      </c>
      <c r="D15" s="599" t="s">
        <v>321</v>
      </c>
      <c r="E15" s="385"/>
      <c r="F15" s="385"/>
      <c r="G15" s="385"/>
      <c r="H15" s="385"/>
      <c r="I15" s="385"/>
      <c r="J15" s="963"/>
      <c r="K15" s="995"/>
      <c r="L15" s="821"/>
      <c r="M15" s="385"/>
      <c r="N15" s="385"/>
      <c r="O15" s="385"/>
      <c r="P15" s="385"/>
      <c r="Q15" s="385"/>
      <c r="R15" s="385"/>
      <c r="S15" s="385"/>
      <c r="T15" s="821"/>
      <c r="U15" s="385"/>
      <c r="V15" s="385"/>
      <c r="W15" s="385"/>
      <c r="X15" s="385"/>
      <c r="Y15" s="385"/>
      <c r="Z15" s="385"/>
      <c r="AA15" s="385"/>
      <c r="AB15" s="821"/>
    </row>
    <row r="16" spans="1:28" ht="21.75" customHeight="1">
      <c r="A16" s="108"/>
      <c r="B16" s="104" t="s">
        <v>119</v>
      </c>
      <c r="C16" s="1115" t="s">
        <v>322</v>
      </c>
      <c r="D16" s="1115"/>
      <c r="E16" s="385">
        <v>12500</v>
      </c>
      <c r="F16" s="385">
        <v>12500</v>
      </c>
      <c r="G16" s="385">
        <v>12500</v>
      </c>
      <c r="H16" s="385">
        <v>12500</v>
      </c>
      <c r="I16" s="385">
        <v>12500</v>
      </c>
      <c r="J16" s="963">
        <v>14919</v>
      </c>
      <c r="K16" s="995">
        <v>14060</v>
      </c>
      <c r="L16" s="821">
        <f t="shared" si="9"/>
        <v>0.9424224143709364</v>
      </c>
      <c r="M16" s="385">
        <v>12500</v>
      </c>
      <c r="N16" s="385">
        <v>12500</v>
      </c>
      <c r="O16" s="385">
        <v>12500</v>
      </c>
      <c r="P16" s="388">
        <f>H16</f>
        <v>12500</v>
      </c>
      <c r="Q16" s="388">
        <f>I16</f>
        <v>12500</v>
      </c>
      <c r="R16" s="388">
        <f>J16</f>
        <v>14919</v>
      </c>
      <c r="S16" s="388">
        <f>K16</f>
        <v>14060</v>
      </c>
      <c r="T16" s="821">
        <f t="shared" si="5"/>
        <v>0.9424224143709364</v>
      </c>
      <c r="U16" s="385"/>
      <c r="V16" s="385"/>
      <c r="W16" s="385"/>
      <c r="X16" s="385"/>
      <c r="Y16" s="385"/>
      <c r="Z16" s="385"/>
      <c r="AA16" s="385"/>
      <c r="AB16" s="821"/>
    </row>
    <row r="17" spans="1:28" ht="21.75" customHeight="1">
      <c r="A17" s="108"/>
      <c r="B17" s="104" t="s">
        <v>52</v>
      </c>
      <c r="C17" s="1116" t="s">
        <v>323</v>
      </c>
      <c r="D17" s="1116"/>
      <c r="E17" s="385">
        <f aca="true" t="shared" si="11" ref="E17:K17">SUM(E18:E19)</f>
        <v>1000</v>
      </c>
      <c r="F17" s="385">
        <f t="shared" si="11"/>
        <v>1000</v>
      </c>
      <c r="G17" s="385">
        <f t="shared" si="11"/>
        <v>1000</v>
      </c>
      <c r="H17" s="385">
        <f t="shared" si="11"/>
        <v>1300</v>
      </c>
      <c r="I17" s="385">
        <f t="shared" si="11"/>
        <v>1368</v>
      </c>
      <c r="J17" s="385">
        <f t="shared" si="11"/>
        <v>2989</v>
      </c>
      <c r="K17" s="385">
        <f t="shared" si="11"/>
        <v>1684</v>
      </c>
      <c r="L17" s="821">
        <f t="shared" si="9"/>
        <v>0.5633991301438608</v>
      </c>
      <c r="M17" s="385">
        <f aca="true" t="shared" si="12" ref="M17:R17">SUM(M18:M19)</f>
        <v>1000</v>
      </c>
      <c r="N17" s="385">
        <f t="shared" si="12"/>
        <v>1000</v>
      </c>
      <c r="O17" s="385">
        <f t="shared" si="12"/>
        <v>1000</v>
      </c>
      <c r="P17" s="385">
        <f t="shared" si="12"/>
        <v>1300</v>
      </c>
      <c r="Q17" s="385">
        <f t="shared" si="12"/>
        <v>1368</v>
      </c>
      <c r="R17" s="385">
        <f t="shared" si="12"/>
        <v>2989</v>
      </c>
      <c r="S17" s="385">
        <f>SUM(S18:S19)</f>
        <v>1684</v>
      </c>
      <c r="T17" s="821">
        <f t="shared" si="5"/>
        <v>0.5633991301438608</v>
      </c>
      <c r="U17" s="385"/>
      <c r="V17" s="385"/>
      <c r="W17" s="385"/>
      <c r="X17" s="385"/>
      <c r="Y17" s="385"/>
      <c r="Z17" s="385"/>
      <c r="AA17" s="385"/>
      <c r="AB17" s="821"/>
    </row>
    <row r="18" spans="1:28" ht="21.75" customHeight="1">
      <c r="A18" s="108"/>
      <c r="B18" s="104"/>
      <c r="C18" s="104" t="s">
        <v>324</v>
      </c>
      <c r="D18" s="599" t="s">
        <v>326</v>
      </c>
      <c r="E18" s="385"/>
      <c r="F18" s="385"/>
      <c r="G18" s="385"/>
      <c r="H18" s="385"/>
      <c r="I18" s="385"/>
      <c r="J18" s="963"/>
      <c r="K18" s="995"/>
      <c r="L18" s="821"/>
      <c r="M18" s="385"/>
      <c r="N18" s="385"/>
      <c r="O18" s="385"/>
      <c r="P18" s="385"/>
      <c r="Q18" s="385"/>
      <c r="R18" s="385"/>
      <c r="S18" s="385"/>
      <c r="T18" s="821"/>
      <c r="U18" s="385"/>
      <c r="V18" s="385"/>
      <c r="W18" s="385"/>
      <c r="X18" s="385"/>
      <c r="Y18" s="385"/>
      <c r="Z18" s="385"/>
      <c r="AA18" s="385"/>
      <c r="AB18" s="821"/>
    </row>
    <row r="19" spans="1:28" ht="21.75" customHeight="1">
      <c r="A19" s="108"/>
      <c r="B19" s="104"/>
      <c r="C19" s="104" t="s">
        <v>325</v>
      </c>
      <c r="D19" s="599" t="s">
        <v>297</v>
      </c>
      <c r="E19" s="385">
        <v>1000</v>
      </c>
      <c r="F19" s="385">
        <v>1000</v>
      </c>
      <c r="G19" s="385">
        <v>1000</v>
      </c>
      <c r="H19" s="385">
        <v>1300</v>
      </c>
      <c r="I19" s="385">
        <f>1300+68</f>
        <v>1368</v>
      </c>
      <c r="J19" s="963">
        <v>2989</v>
      </c>
      <c r="K19" s="995">
        <v>1684</v>
      </c>
      <c r="L19" s="821">
        <f t="shared" si="9"/>
        <v>0.5633991301438608</v>
      </c>
      <c r="M19" s="385">
        <v>1000</v>
      </c>
      <c r="N19" s="385">
        <v>1000</v>
      </c>
      <c r="O19" s="385">
        <v>1000</v>
      </c>
      <c r="P19" s="388">
        <f aca="true" t="shared" si="13" ref="P19:S20">H19</f>
        <v>1300</v>
      </c>
      <c r="Q19" s="388">
        <f t="shared" si="13"/>
        <v>1368</v>
      </c>
      <c r="R19" s="388">
        <f t="shared" si="13"/>
        <v>2989</v>
      </c>
      <c r="S19" s="388">
        <f t="shared" si="13"/>
        <v>1684</v>
      </c>
      <c r="T19" s="821">
        <f t="shared" si="5"/>
        <v>0.5633991301438608</v>
      </c>
      <c r="U19" s="385"/>
      <c r="V19" s="385"/>
      <c r="W19" s="385"/>
      <c r="X19" s="385"/>
      <c r="Y19" s="385"/>
      <c r="Z19" s="385"/>
      <c r="AA19" s="385"/>
      <c r="AB19" s="821"/>
    </row>
    <row r="20" spans="1:28" ht="21.75" customHeight="1" thickBot="1">
      <c r="A20" s="484"/>
      <c r="B20" s="657" t="s">
        <v>53</v>
      </c>
      <c r="C20" s="1118" t="s">
        <v>327</v>
      </c>
      <c r="D20" s="1118"/>
      <c r="E20" s="483">
        <v>344</v>
      </c>
      <c r="F20" s="483">
        <v>344</v>
      </c>
      <c r="G20" s="483">
        <v>344</v>
      </c>
      <c r="H20" s="483">
        <f>344+400+600</f>
        <v>1344</v>
      </c>
      <c r="I20" s="483">
        <f>344+400+600+905</f>
        <v>2249</v>
      </c>
      <c r="J20" s="964">
        <v>2552</v>
      </c>
      <c r="K20" s="996">
        <v>2451</v>
      </c>
      <c r="L20" s="971">
        <f t="shared" si="9"/>
        <v>0.960423197492163</v>
      </c>
      <c r="M20" s="483">
        <v>344</v>
      </c>
      <c r="N20" s="483">
        <v>344</v>
      </c>
      <c r="O20" s="483">
        <v>344</v>
      </c>
      <c r="P20" s="388">
        <f t="shared" si="13"/>
        <v>1344</v>
      </c>
      <c r="Q20" s="388">
        <f t="shared" si="13"/>
        <v>2249</v>
      </c>
      <c r="R20" s="388">
        <f t="shared" si="13"/>
        <v>2552</v>
      </c>
      <c r="S20" s="388">
        <f t="shared" si="13"/>
        <v>2451</v>
      </c>
      <c r="T20" s="971">
        <f t="shared" si="5"/>
        <v>0.960423197492163</v>
      </c>
      <c r="U20" s="483"/>
      <c r="V20" s="483"/>
      <c r="W20" s="483"/>
      <c r="X20" s="483"/>
      <c r="Y20" s="483"/>
      <c r="Z20" s="483"/>
      <c r="AA20" s="483"/>
      <c r="AB20" s="971"/>
    </row>
    <row r="21" spans="1:29" ht="21.75" customHeight="1" thickBot="1">
      <c r="A21" s="111" t="s">
        <v>328</v>
      </c>
      <c r="B21" s="1104" t="s">
        <v>329</v>
      </c>
      <c r="C21" s="1104"/>
      <c r="D21" s="1104"/>
      <c r="E21" s="383">
        <f aca="true" t="shared" si="14" ref="E21:K21">E22+E23+E24+E28+E29+E30+E31</f>
        <v>11976</v>
      </c>
      <c r="F21" s="383">
        <f t="shared" si="14"/>
        <v>11976</v>
      </c>
      <c r="G21" s="383">
        <f t="shared" si="14"/>
        <v>19397</v>
      </c>
      <c r="H21" s="383">
        <f t="shared" si="14"/>
        <v>21042</v>
      </c>
      <c r="I21" s="383">
        <f t="shared" si="14"/>
        <v>20842</v>
      </c>
      <c r="J21" s="383">
        <f t="shared" si="14"/>
        <v>22969</v>
      </c>
      <c r="K21" s="383">
        <f t="shared" si="14"/>
        <v>22310</v>
      </c>
      <c r="L21" s="945">
        <f aca="true" t="shared" si="15" ref="L21:L26">K21/J21</f>
        <v>0.9713091558187121</v>
      </c>
      <c r="M21" s="383">
        <f aca="true" t="shared" si="16" ref="M21:R21">M22+M23+M24+M28+M29+M30+M31</f>
        <v>11976</v>
      </c>
      <c r="N21" s="383">
        <f t="shared" si="16"/>
        <v>11976</v>
      </c>
      <c r="O21" s="383">
        <f t="shared" si="16"/>
        <v>18634</v>
      </c>
      <c r="P21" s="383">
        <f t="shared" si="16"/>
        <v>20279</v>
      </c>
      <c r="Q21" s="383">
        <f t="shared" si="16"/>
        <v>20079</v>
      </c>
      <c r="R21" s="383">
        <f t="shared" si="16"/>
        <v>22206</v>
      </c>
      <c r="S21" s="383">
        <f>S22+S23+S24+S28+S29+S30+S31</f>
        <v>21742</v>
      </c>
      <c r="T21" s="945">
        <f aca="true" t="shared" si="17" ref="T21:T26">S21/R21</f>
        <v>0.9791047464649194</v>
      </c>
      <c r="U21" s="383">
        <f>SUM(U22:U31)</f>
        <v>0</v>
      </c>
      <c r="V21" s="383">
        <f>SUM(V22:V31)</f>
        <v>0</v>
      </c>
      <c r="W21" s="383">
        <f>W22+W23+W24+W28+W29+W30+W31</f>
        <v>763</v>
      </c>
      <c r="X21" s="383">
        <f>X22+X23+X24+X28+X29+X30+X31</f>
        <v>763</v>
      </c>
      <c r="Y21" s="383">
        <f>Y22+Y23+Y24+Y28+Y29+Y30+Y31</f>
        <v>763</v>
      </c>
      <c r="Z21" s="383">
        <f>Z22+Z23+Z24+Z28+Z29+Z30+Z31</f>
        <v>763</v>
      </c>
      <c r="AA21" s="383">
        <f>AA22+AA23+AA24+AA28+AA29+AA30+AA31</f>
        <v>568</v>
      </c>
      <c r="AB21" s="945">
        <f>AA21/Z21</f>
        <v>0.744429882044561</v>
      </c>
      <c r="AC21" s="341"/>
    </row>
    <row r="22" spans="1:28" ht="21.75" customHeight="1">
      <c r="A22" s="109"/>
      <c r="B22" s="110" t="s">
        <v>42</v>
      </c>
      <c r="C22" s="1111" t="s">
        <v>330</v>
      </c>
      <c r="D22" s="1111"/>
      <c r="E22" s="384">
        <v>150</v>
      </c>
      <c r="F22" s="384">
        <v>150</v>
      </c>
      <c r="G22" s="384">
        <f>150+3683</f>
        <v>3833</v>
      </c>
      <c r="H22" s="384">
        <f>150+3683+400</f>
        <v>4233</v>
      </c>
      <c r="I22" s="384">
        <f>150+3683+400</f>
        <v>4233</v>
      </c>
      <c r="J22" s="965">
        <v>4514</v>
      </c>
      <c r="K22" s="997">
        <v>4440</v>
      </c>
      <c r="L22" s="821">
        <f t="shared" si="15"/>
        <v>0.9836065573770492</v>
      </c>
      <c r="M22" s="384">
        <v>150</v>
      </c>
      <c r="N22" s="384">
        <v>150</v>
      </c>
      <c r="O22" s="384">
        <f>150+3683</f>
        <v>3833</v>
      </c>
      <c r="P22" s="388">
        <f aca="true" t="shared" si="18" ref="P22:S23">H22</f>
        <v>4233</v>
      </c>
      <c r="Q22" s="388">
        <f t="shared" si="18"/>
        <v>4233</v>
      </c>
      <c r="R22" s="388">
        <f t="shared" si="18"/>
        <v>4514</v>
      </c>
      <c r="S22" s="388">
        <f t="shared" si="18"/>
        <v>4440</v>
      </c>
      <c r="T22" s="821">
        <f t="shared" si="17"/>
        <v>0.9836065573770492</v>
      </c>
      <c r="U22" s="384"/>
      <c r="V22" s="384"/>
      <c r="W22" s="384"/>
      <c r="X22" s="384"/>
      <c r="Y22" s="384"/>
      <c r="Z22" s="384"/>
      <c r="AA22" s="384"/>
      <c r="AB22" s="821"/>
    </row>
    <row r="23" spans="1:28" ht="21.75" customHeight="1">
      <c r="A23" s="108"/>
      <c r="B23" s="104" t="s">
        <v>43</v>
      </c>
      <c r="C23" s="1100" t="s">
        <v>365</v>
      </c>
      <c r="D23" s="1100"/>
      <c r="E23" s="388">
        <v>450</v>
      </c>
      <c r="F23" s="388">
        <v>450</v>
      </c>
      <c r="G23" s="388">
        <f>450+1242</f>
        <v>1692</v>
      </c>
      <c r="H23" s="388">
        <f>450+1242+1100</f>
        <v>2792</v>
      </c>
      <c r="I23" s="388">
        <f>450+1242+1100</f>
        <v>2792</v>
      </c>
      <c r="J23" s="966">
        <v>3490</v>
      </c>
      <c r="K23" s="998">
        <v>3220</v>
      </c>
      <c r="L23" s="821">
        <f t="shared" si="15"/>
        <v>0.9226361031518625</v>
      </c>
      <c r="M23" s="388">
        <v>450</v>
      </c>
      <c r="N23" s="388">
        <v>450</v>
      </c>
      <c r="O23" s="388">
        <f>450+1242</f>
        <v>1692</v>
      </c>
      <c r="P23" s="388">
        <f t="shared" si="18"/>
        <v>2792</v>
      </c>
      <c r="Q23" s="388">
        <f t="shared" si="18"/>
        <v>2792</v>
      </c>
      <c r="R23" s="388">
        <f t="shared" si="18"/>
        <v>3490</v>
      </c>
      <c r="S23" s="388">
        <f t="shared" si="18"/>
        <v>3220</v>
      </c>
      <c r="T23" s="821">
        <f t="shared" si="17"/>
        <v>0.9226361031518625</v>
      </c>
      <c r="U23" s="388"/>
      <c r="V23" s="388"/>
      <c r="W23" s="388"/>
      <c r="X23" s="388"/>
      <c r="Y23" s="388"/>
      <c r="Z23" s="388"/>
      <c r="AA23" s="388"/>
      <c r="AB23" s="821"/>
    </row>
    <row r="24" spans="1:28" ht="21.75" customHeight="1">
      <c r="A24" s="108"/>
      <c r="B24" s="104" t="s">
        <v>44</v>
      </c>
      <c r="C24" s="1100" t="s">
        <v>332</v>
      </c>
      <c r="D24" s="1100"/>
      <c r="E24" s="388">
        <f aca="true" t="shared" si="19" ref="E24:K24">SUM(E25:E27)</f>
        <v>9476</v>
      </c>
      <c r="F24" s="388">
        <f t="shared" si="19"/>
        <v>9476</v>
      </c>
      <c r="G24" s="388">
        <f t="shared" si="19"/>
        <v>10271</v>
      </c>
      <c r="H24" s="388">
        <f t="shared" si="19"/>
        <v>10466</v>
      </c>
      <c r="I24" s="388">
        <f t="shared" si="19"/>
        <v>10466</v>
      </c>
      <c r="J24" s="388">
        <f t="shared" si="19"/>
        <v>11222</v>
      </c>
      <c r="K24" s="388">
        <f t="shared" si="19"/>
        <v>11022</v>
      </c>
      <c r="L24" s="821">
        <f t="shared" si="15"/>
        <v>0.982177864908216</v>
      </c>
      <c r="M24" s="388">
        <f aca="true" t="shared" si="20" ref="M24:R24">SUM(M25:M27)</f>
        <v>9476</v>
      </c>
      <c r="N24" s="388">
        <f t="shared" si="20"/>
        <v>9476</v>
      </c>
      <c r="O24" s="388">
        <f t="shared" si="20"/>
        <v>9508</v>
      </c>
      <c r="P24" s="388">
        <f t="shared" si="20"/>
        <v>9703</v>
      </c>
      <c r="Q24" s="388">
        <f t="shared" si="20"/>
        <v>9703</v>
      </c>
      <c r="R24" s="388">
        <f t="shared" si="20"/>
        <v>10459</v>
      </c>
      <c r="S24" s="388">
        <f>SUM(S25:S27)</f>
        <v>10454</v>
      </c>
      <c r="T24" s="821">
        <f t="shared" si="17"/>
        <v>0.9995219428243618</v>
      </c>
      <c r="U24" s="388"/>
      <c r="V24" s="388"/>
      <c r="W24" s="388">
        <v>763</v>
      </c>
      <c r="X24" s="388">
        <v>763</v>
      </c>
      <c r="Y24" s="388">
        <v>763</v>
      </c>
      <c r="Z24" s="388">
        <v>763</v>
      </c>
      <c r="AA24" s="388">
        <v>568</v>
      </c>
      <c r="AB24" s="821">
        <f>AA24/Z24</f>
        <v>0.744429882044561</v>
      </c>
    </row>
    <row r="25" spans="1:28" ht="21.75" customHeight="1">
      <c r="A25" s="108"/>
      <c r="B25" s="104"/>
      <c r="C25" s="104" t="s">
        <v>102</v>
      </c>
      <c r="D25" s="346" t="s">
        <v>333</v>
      </c>
      <c r="E25" s="388">
        <v>9476</v>
      </c>
      <c r="F25" s="388">
        <v>9476</v>
      </c>
      <c r="G25" s="388">
        <f>9476+795</f>
        <v>10271</v>
      </c>
      <c r="H25" s="388">
        <f>9476+795-195</f>
        <v>10076</v>
      </c>
      <c r="I25" s="388">
        <f>9476+795-195</f>
        <v>10076</v>
      </c>
      <c r="J25" s="966">
        <v>10832</v>
      </c>
      <c r="K25" s="998">
        <v>10632</v>
      </c>
      <c r="L25" s="821">
        <f t="shared" si="15"/>
        <v>0.981536189069424</v>
      </c>
      <c r="M25" s="388">
        <v>9476</v>
      </c>
      <c r="N25" s="388">
        <v>9476</v>
      </c>
      <c r="O25" s="388">
        <f>9476+795-763</f>
        <v>9508</v>
      </c>
      <c r="P25" s="388">
        <f aca="true" t="shared" si="21" ref="P25:S26">H25-X25</f>
        <v>9313</v>
      </c>
      <c r="Q25" s="388">
        <f t="shared" si="21"/>
        <v>9313</v>
      </c>
      <c r="R25" s="388">
        <f t="shared" si="21"/>
        <v>10069</v>
      </c>
      <c r="S25" s="388">
        <f t="shared" si="21"/>
        <v>10064</v>
      </c>
      <c r="T25" s="821">
        <f t="shared" si="17"/>
        <v>0.9995034263581289</v>
      </c>
      <c r="U25" s="388"/>
      <c r="V25" s="388"/>
      <c r="W25" s="388">
        <v>763</v>
      </c>
      <c r="X25" s="388">
        <v>763</v>
      </c>
      <c r="Y25" s="388">
        <v>763</v>
      </c>
      <c r="Z25" s="388">
        <v>763</v>
      </c>
      <c r="AA25" s="388">
        <v>568</v>
      </c>
      <c r="AB25" s="821">
        <f>AA25/Z25</f>
        <v>0.744429882044561</v>
      </c>
    </row>
    <row r="26" spans="1:28" ht="41.25" customHeight="1">
      <c r="A26" s="108"/>
      <c r="B26" s="104"/>
      <c r="C26" s="104" t="s">
        <v>103</v>
      </c>
      <c r="D26" s="346" t="s">
        <v>334</v>
      </c>
      <c r="E26" s="388"/>
      <c r="F26" s="388"/>
      <c r="G26" s="388"/>
      <c r="H26" s="388">
        <f>195+195</f>
        <v>390</v>
      </c>
      <c r="I26" s="388">
        <f>195+195</f>
        <v>390</v>
      </c>
      <c r="J26" s="966">
        <v>390</v>
      </c>
      <c r="K26" s="998">
        <v>390</v>
      </c>
      <c r="L26" s="821">
        <f t="shared" si="15"/>
        <v>1</v>
      </c>
      <c r="M26" s="388"/>
      <c r="N26" s="388"/>
      <c r="O26" s="388"/>
      <c r="P26" s="388">
        <f t="shared" si="21"/>
        <v>390</v>
      </c>
      <c r="Q26" s="388">
        <f t="shared" si="21"/>
        <v>390</v>
      </c>
      <c r="R26" s="388">
        <f t="shared" si="21"/>
        <v>390</v>
      </c>
      <c r="S26" s="388">
        <f t="shared" si="21"/>
        <v>390</v>
      </c>
      <c r="T26" s="821">
        <f t="shared" si="17"/>
        <v>1</v>
      </c>
      <c r="U26" s="388"/>
      <c r="V26" s="388"/>
      <c r="W26" s="388"/>
      <c r="X26" s="388"/>
      <c r="Y26" s="388"/>
      <c r="Z26" s="388"/>
      <c r="AA26" s="388"/>
      <c r="AB26" s="821"/>
    </row>
    <row r="27" spans="1:28" ht="21.75" customHeight="1">
      <c r="A27" s="108"/>
      <c r="B27" s="104"/>
      <c r="C27" s="104" t="s">
        <v>104</v>
      </c>
      <c r="D27" s="346" t="s">
        <v>335</v>
      </c>
      <c r="E27" s="388"/>
      <c r="F27" s="388"/>
      <c r="G27" s="388"/>
      <c r="H27" s="388"/>
      <c r="I27" s="388"/>
      <c r="J27" s="966"/>
      <c r="K27" s="966"/>
      <c r="L27" s="946"/>
      <c r="M27" s="388"/>
      <c r="N27" s="388"/>
      <c r="O27" s="388"/>
      <c r="P27" s="388"/>
      <c r="Q27" s="388"/>
      <c r="R27" s="388"/>
      <c r="S27" s="388"/>
      <c r="T27" s="946"/>
      <c r="U27" s="388"/>
      <c r="V27" s="388"/>
      <c r="W27" s="388"/>
      <c r="X27" s="388"/>
      <c r="Y27" s="388"/>
      <c r="Z27" s="388"/>
      <c r="AA27" s="388"/>
      <c r="AB27" s="946"/>
    </row>
    <row r="28" spans="1:28" ht="21.75" customHeight="1">
      <c r="A28" s="108"/>
      <c r="B28" s="104" t="s">
        <v>298</v>
      </c>
      <c r="C28" s="1100" t="s">
        <v>336</v>
      </c>
      <c r="D28" s="1100"/>
      <c r="E28" s="388">
        <v>50</v>
      </c>
      <c r="F28" s="388">
        <v>50</v>
      </c>
      <c r="G28" s="388">
        <f>50+1233</f>
        <v>1283</v>
      </c>
      <c r="H28" s="388">
        <f>50+1233+800</f>
        <v>2083</v>
      </c>
      <c r="I28" s="388">
        <f>50+1233+800</f>
        <v>2083</v>
      </c>
      <c r="J28" s="966">
        <v>2153</v>
      </c>
      <c r="K28" s="998">
        <v>2047</v>
      </c>
      <c r="L28" s="821">
        <f>K28/J28</f>
        <v>0.9507663725034835</v>
      </c>
      <c r="M28" s="388">
        <v>50</v>
      </c>
      <c r="N28" s="388">
        <v>50</v>
      </c>
      <c r="O28" s="388">
        <f>50+1233</f>
        <v>1283</v>
      </c>
      <c r="P28" s="388">
        <f>H28</f>
        <v>2083</v>
      </c>
      <c r="Q28" s="388">
        <f>I28</f>
        <v>2083</v>
      </c>
      <c r="R28" s="388">
        <f>J28</f>
        <v>2153</v>
      </c>
      <c r="S28" s="388">
        <f>K28</f>
        <v>2047</v>
      </c>
      <c r="T28" s="821">
        <f>S28/R28</f>
        <v>0.9507663725034835</v>
      </c>
      <c r="U28" s="388"/>
      <c r="V28" s="388"/>
      <c r="W28" s="388"/>
      <c r="X28" s="388"/>
      <c r="Y28" s="388"/>
      <c r="Z28" s="388"/>
      <c r="AA28" s="388"/>
      <c r="AB28" s="821"/>
    </row>
    <row r="29" spans="1:28" ht="21.75" customHeight="1">
      <c r="A29" s="112"/>
      <c r="B29" s="113" t="s">
        <v>337</v>
      </c>
      <c r="C29" s="1100" t="s">
        <v>338</v>
      </c>
      <c r="D29" s="1100"/>
      <c r="E29" s="388"/>
      <c r="F29" s="388"/>
      <c r="G29" s="388"/>
      <c r="H29" s="388"/>
      <c r="I29" s="388"/>
      <c r="J29" s="966"/>
      <c r="K29" s="966"/>
      <c r="L29" s="946"/>
      <c r="M29" s="388"/>
      <c r="N29" s="388"/>
      <c r="O29" s="388"/>
      <c r="P29" s="388"/>
      <c r="Q29" s="388"/>
      <c r="R29" s="388"/>
      <c r="S29" s="388"/>
      <c r="T29" s="946"/>
      <c r="U29" s="388"/>
      <c r="V29" s="388"/>
      <c r="W29" s="388"/>
      <c r="X29" s="388"/>
      <c r="Y29" s="388"/>
      <c r="Z29" s="388"/>
      <c r="AA29" s="388"/>
      <c r="AB29" s="946"/>
    </row>
    <row r="30" spans="1:28" ht="21.75" customHeight="1">
      <c r="A30" s="112"/>
      <c r="B30" s="113" t="s">
        <v>339</v>
      </c>
      <c r="C30" s="1100" t="s">
        <v>340</v>
      </c>
      <c r="D30" s="1100"/>
      <c r="E30" s="388">
        <v>1850</v>
      </c>
      <c r="F30" s="388">
        <v>1850</v>
      </c>
      <c r="G30" s="388">
        <v>1850</v>
      </c>
      <c r="H30" s="388">
        <f>1850-1250</f>
        <v>600</v>
      </c>
      <c r="I30" s="388">
        <f>1850-1250-200</f>
        <v>400</v>
      </c>
      <c r="J30" s="966">
        <v>400</v>
      </c>
      <c r="K30" s="998">
        <v>391</v>
      </c>
      <c r="L30" s="821">
        <f aca="true" t="shared" si="22" ref="L30:L35">K30/J30</f>
        <v>0.9775</v>
      </c>
      <c r="M30" s="388">
        <v>1850</v>
      </c>
      <c r="N30" s="388">
        <v>1850</v>
      </c>
      <c r="O30" s="388">
        <v>1850</v>
      </c>
      <c r="P30" s="388">
        <f aca="true" t="shared" si="23" ref="P30:S31">H30</f>
        <v>600</v>
      </c>
      <c r="Q30" s="388">
        <f t="shared" si="23"/>
        <v>400</v>
      </c>
      <c r="R30" s="388">
        <f t="shared" si="23"/>
        <v>400</v>
      </c>
      <c r="S30" s="388">
        <f t="shared" si="23"/>
        <v>391</v>
      </c>
      <c r="T30" s="821">
        <f aca="true" t="shared" si="24" ref="T30:T35">S30/R30</f>
        <v>0.9775</v>
      </c>
      <c r="U30" s="388"/>
      <c r="V30" s="388"/>
      <c r="W30" s="388"/>
      <c r="X30" s="388"/>
      <c r="Y30" s="388"/>
      <c r="Z30" s="388"/>
      <c r="AA30" s="388"/>
      <c r="AB30" s="821"/>
    </row>
    <row r="31" spans="1:28" ht="21.75" customHeight="1" thickBot="1">
      <c r="A31" s="112"/>
      <c r="B31" s="113" t="s">
        <v>75</v>
      </c>
      <c r="C31" s="1113" t="s">
        <v>76</v>
      </c>
      <c r="D31" s="1113"/>
      <c r="E31" s="388"/>
      <c r="F31" s="388"/>
      <c r="G31" s="388">
        <v>468</v>
      </c>
      <c r="H31" s="388">
        <f>468+400</f>
        <v>868</v>
      </c>
      <c r="I31" s="388">
        <f>468+400</f>
        <v>868</v>
      </c>
      <c r="J31" s="966">
        <v>1190</v>
      </c>
      <c r="K31" s="998">
        <v>1190</v>
      </c>
      <c r="L31" s="821">
        <f t="shared" si="22"/>
        <v>1</v>
      </c>
      <c r="M31" s="388"/>
      <c r="N31" s="388"/>
      <c r="O31" s="388">
        <v>468</v>
      </c>
      <c r="P31" s="388">
        <f t="shared" si="23"/>
        <v>868</v>
      </c>
      <c r="Q31" s="388">
        <f t="shared" si="23"/>
        <v>868</v>
      </c>
      <c r="R31" s="388">
        <f t="shared" si="23"/>
        <v>1190</v>
      </c>
      <c r="S31" s="388">
        <f t="shared" si="23"/>
        <v>1190</v>
      </c>
      <c r="T31" s="821">
        <f t="shared" si="24"/>
        <v>1</v>
      </c>
      <c r="U31" s="388"/>
      <c r="V31" s="388"/>
      <c r="W31" s="388"/>
      <c r="X31" s="388"/>
      <c r="Y31" s="388"/>
      <c r="Z31" s="388"/>
      <c r="AA31" s="388"/>
      <c r="AB31" s="821"/>
    </row>
    <row r="32" spans="1:28" ht="21.75" customHeight="1" thickBot="1">
      <c r="A32" s="115" t="s">
        <v>10</v>
      </c>
      <c r="B32" s="1104" t="s">
        <v>341</v>
      </c>
      <c r="C32" s="1104"/>
      <c r="D32" s="1104"/>
      <c r="E32" s="378">
        <f aca="true" t="shared" si="25" ref="E32:K32">SUM(E33:E37)</f>
        <v>271409</v>
      </c>
      <c r="F32" s="378">
        <f t="shared" si="25"/>
        <v>279559</v>
      </c>
      <c r="G32" s="378">
        <f t="shared" si="25"/>
        <v>279678</v>
      </c>
      <c r="H32" s="378">
        <f t="shared" si="25"/>
        <v>279958</v>
      </c>
      <c r="I32" s="378">
        <f t="shared" si="25"/>
        <v>287286</v>
      </c>
      <c r="J32" s="378">
        <f t="shared" si="25"/>
        <v>289231</v>
      </c>
      <c r="K32" s="378">
        <f t="shared" si="25"/>
        <v>289118</v>
      </c>
      <c r="L32" s="945">
        <f t="shared" si="22"/>
        <v>0.99960930882236</v>
      </c>
      <c r="M32" s="378">
        <f aca="true" t="shared" si="26" ref="M32:R32">SUM(M33:M37)</f>
        <v>271409</v>
      </c>
      <c r="N32" s="378">
        <f t="shared" si="26"/>
        <v>279559</v>
      </c>
      <c r="O32" s="378">
        <f t="shared" si="26"/>
        <v>279678</v>
      </c>
      <c r="P32" s="378">
        <f t="shared" si="26"/>
        <v>279958</v>
      </c>
      <c r="Q32" s="378">
        <f t="shared" si="26"/>
        <v>287286</v>
      </c>
      <c r="R32" s="378">
        <f t="shared" si="26"/>
        <v>289231</v>
      </c>
      <c r="S32" s="378">
        <f>SUM(S33:S37)</f>
        <v>289118</v>
      </c>
      <c r="T32" s="945">
        <f t="shared" si="24"/>
        <v>0.99960930882236</v>
      </c>
      <c r="U32" s="378"/>
      <c r="V32" s="378"/>
      <c r="W32" s="378"/>
      <c r="X32" s="378"/>
      <c r="Y32" s="378"/>
      <c r="Z32" s="378"/>
      <c r="AA32" s="378"/>
      <c r="AB32" s="945"/>
    </row>
    <row r="33" spans="1:30" ht="21.75" customHeight="1">
      <c r="A33" s="109"/>
      <c r="B33" s="113" t="s">
        <v>45</v>
      </c>
      <c r="C33" s="1102" t="s">
        <v>342</v>
      </c>
      <c r="D33" s="1102"/>
      <c r="E33" s="673">
        <v>239110</v>
      </c>
      <c r="F33" s="673">
        <f>239110+633+1477</f>
        <v>241220</v>
      </c>
      <c r="G33" s="673">
        <f>239110+633+1477+1947+1</f>
        <v>243168</v>
      </c>
      <c r="H33" s="673">
        <f>239110+633+1477+1947+1</f>
        <v>243168</v>
      </c>
      <c r="I33" s="673">
        <f>239110+633+1477+1947+1+1638+1570-1</f>
        <v>246375</v>
      </c>
      <c r="J33" s="1085">
        <f>244811-119</f>
        <v>244692</v>
      </c>
      <c r="K33" s="999">
        <f>244811-119</f>
        <v>244692</v>
      </c>
      <c r="L33" s="821">
        <f t="shared" si="22"/>
        <v>1</v>
      </c>
      <c r="M33" s="673">
        <v>239110</v>
      </c>
      <c r="N33" s="673">
        <v>241220</v>
      </c>
      <c r="O33" s="673">
        <f>239110+633+1477+1947+1</f>
        <v>243168</v>
      </c>
      <c r="P33" s="388">
        <f aca="true" t="shared" si="27" ref="P33:S35">H33</f>
        <v>243168</v>
      </c>
      <c r="Q33" s="388">
        <f t="shared" si="27"/>
        <v>246375</v>
      </c>
      <c r="R33" s="388">
        <f t="shared" si="27"/>
        <v>244692</v>
      </c>
      <c r="S33" s="388">
        <f t="shared" si="27"/>
        <v>244692</v>
      </c>
      <c r="T33" s="821">
        <f t="shared" si="24"/>
        <v>1</v>
      </c>
      <c r="U33" s="673"/>
      <c r="V33" s="673"/>
      <c r="W33" s="673"/>
      <c r="X33" s="673"/>
      <c r="Y33" s="673"/>
      <c r="Z33" s="673"/>
      <c r="AA33" s="673"/>
      <c r="AB33" s="821"/>
      <c r="AD33" s="341"/>
    </row>
    <row r="34" spans="1:28" ht="21.75" customHeight="1">
      <c r="A34" s="108"/>
      <c r="B34" s="113" t="s">
        <v>46</v>
      </c>
      <c r="C34" s="1100" t="s">
        <v>343</v>
      </c>
      <c r="D34" s="1100"/>
      <c r="E34" s="388"/>
      <c r="F34" s="388">
        <v>1560</v>
      </c>
      <c r="G34" s="388">
        <f>1560+608</f>
        <v>2168</v>
      </c>
      <c r="H34" s="388">
        <f>1560+608+1487</f>
        <v>3655</v>
      </c>
      <c r="I34" s="388">
        <f>1560+608+1487+5187+596-37</f>
        <v>9401</v>
      </c>
      <c r="J34" s="966">
        <f>14680+119</f>
        <v>14799</v>
      </c>
      <c r="K34" s="998">
        <v>14799</v>
      </c>
      <c r="L34" s="821">
        <f t="shared" si="22"/>
        <v>1</v>
      </c>
      <c r="M34" s="388"/>
      <c r="N34" s="388">
        <v>1560</v>
      </c>
      <c r="O34" s="388">
        <f>1560+608</f>
        <v>2168</v>
      </c>
      <c r="P34" s="388">
        <f t="shared" si="27"/>
        <v>3655</v>
      </c>
      <c r="Q34" s="388">
        <f t="shared" si="27"/>
        <v>9401</v>
      </c>
      <c r="R34" s="388">
        <f t="shared" si="27"/>
        <v>14799</v>
      </c>
      <c r="S34" s="388">
        <f t="shared" si="27"/>
        <v>14799</v>
      </c>
      <c r="T34" s="821">
        <f t="shared" si="24"/>
        <v>1</v>
      </c>
      <c r="U34" s="388"/>
      <c r="V34" s="388"/>
      <c r="W34" s="388"/>
      <c r="X34" s="388"/>
      <c r="Y34" s="388"/>
      <c r="Z34" s="388"/>
      <c r="AA34" s="388"/>
      <c r="AB34" s="821"/>
    </row>
    <row r="35" spans="1:28" ht="21.75" customHeight="1">
      <c r="A35" s="108"/>
      <c r="B35" s="113" t="s">
        <v>73</v>
      </c>
      <c r="C35" s="1100" t="s">
        <v>517</v>
      </c>
      <c r="D35" s="1100"/>
      <c r="E35" s="388"/>
      <c r="F35" s="388"/>
      <c r="G35" s="388">
        <v>119</v>
      </c>
      <c r="H35" s="388">
        <v>119</v>
      </c>
      <c r="I35" s="388">
        <v>119</v>
      </c>
      <c r="J35" s="966">
        <v>119</v>
      </c>
      <c r="K35" s="998">
        <v>119</v>
      </c>
      <c r="L35" s="821">
        <f t="shared" si="22"/>
        <v>1</v>
      </c>
      <c r="M35" s="388"/>
      <c r="N35" s="388"/>
      <c r="O35" s="388">
        <v>119</v>
      </c>
      <c r="P35" s="388">
        <f t="shared" si="27"/>
        <v>119</v>
      </c>
      <c r="Q35" s="388">
        <f t="shared" si="27"/>
        <v>119</v>
      </c>
      <c r="R35" s="388">
        <f t="shared" si="27"/>
        <v>119</v>
      </c>
      <c r="S35" s="388">
        <f t="shared" si="27"/>
        <v>119</v>
      </c>
      <c r="T35" s="821">
        <f t="shared" si="24"/>
        <v>1</v>
      </c>
      <c r="U35" s="388"/>
      <c r="V35" s="388"/>
      <c r="W35" s="388"/>
      <c r="X35" s="388"/>
      <c r="Y35" s="388"/>
      <c r="Z35" s="388"/>
      <c r="AA35" s="388"/>
      <c r="AB35" s="821"/>
    </row>
    <row r="36" spans="1:28" ht="21.75" customHeight="1">
      <c r="A36" s="108"/>
      <c r="B36" s="113" t="s">
        <v>74</v>
      </c>
      <c r="C36" s="1100" t="s">
        <v>399</v>
      </c>
      <c r="D36" s="1100"/>
      <c r="E36" s="388"/>
      <c r="F36" s="388"/>
      <c r="G36" s="388"/>
      <c r="H36" s="388"/>
      <c r="I36" s="388"/>
      <c r="J36" s="966"/>
      <c r="K36" s="966"/>
      <c r="L36" s="946"/>
      <c r="M36" s="388"/>
      <c r="N36" s="388"/>
      <c r="O36" s="388"/>
      <c r="P36" s="388"/>
      <c r="Q36" s="388"/>
      <c r="R36" s="388"/>
      <c r="S36" s="388"/>
      <c r="T36" s="946"/>
      <c r="U36" s="388"/>
      <c r="V36" s="388"/>
      <c r="W36" s="388"/>
      <c r="X36" s="388"/>
      <c r="Y36" s="388"/>
      <c r="Z36" s="388"/>
      <c r="AA36" s="388"/>
      <c r="AB36" s="946"/>
    </row>
    <row r="37" spans="1:28" ht="21.75" customHeight="1">
      <c r="A37" s="108"/>
      <c r="B37" s="113" t="s">
        <v>395</v>
      </c>
      <c r="C37" s="1100" t="s">
        <v>344</v>
      </c>
      <c r="D37" s="1100"/>
      <c r="E37" s="388">
        <f aca="true" t="shared" si="28" ref="E37:K37">SUM(E38:E40)</f>
        <v>32299</v>
      </c>
      <c r="F37" s="388">
        <f t="shared" si="28"/>
        <v>36779</v>
      </c>
      <c r="G37" s="388">
        <f t="shared" si="28"/>
        <v>34223</v>
      </c>
      <c r="H37" s="388">
        <f t="shared" si="28"/>
        <v>33016</v>
      </c>
      <c r="I37" s="388">
        <f t="shared" si="28"/>
        <v>31391</v>
      </c>
      <c r="J37" s="388">
        <f t="shared" si="28"/>
        <v>29621</v>
      </c>
      <c r="K37" s="388">
        <f t="shared" si="28"/>
        <v>29508</v>
      </c>
      <c r="L37" s="821">
        <f>K37/J37</f>
        <v>0.9961851389217109</v>
      </c>
      <c r="M37" s="388">
        <f aca="true" t="shared" si="29" ref="M37:R37">SUM(M38:M40)</f>
        <v>32299</v>
      </c>
      <c r="N37" s="388">
        <f t="shared" si="29"/>
        <v>36779</v>
      </c>
      <c r="O37" s="388">
        <f t="shared" si="29"/>
        <v>34223</v>
      </c>
      <c r="P37" s="388">
        <f t="shared" si="29"/>
        <v>33016</v>
      </c>
      <c r="Q37" s="388">
        <f t="shared" si="29"/>
        <v>31391</v>
      </c>
      <c r="R37" s="388">
        <f t="shared" si="29"/>
        <v>29621</v>
      </c>
      <c r="S37" s="388">
        <f>SUM(S38:S40)</f>
        <v>29508</v>
      </c>
      <c r="T37" s="821">
        <f>S37/R37</f>
        <v>0.9961851389217109</v>
      </c>
      <c r="U37" s="388"/>
      <c r="V37" s="388"/>
      <c r="W37" s="388"/>
      <c r="X37" s="388"/>
      <c r="Y37" s="388"/>
      <c r="Z37" s="388"/>
      <c r="AA37" s="388"/>
      <c r="AB37" s="821"/>
    </row>
    <row r="38" spans="1:28" ht="21.75" customHeight="1">
      <c r="A38" s="108"/>
      <c r="B38" s="113"/>
      <c r="C38" s="110" t="s">
        <v>396</v>
      </c>
      <c r="D38" s="658" t="s">
        <v>36</v>
      </c>
      <c r="E38" s="388">
        <v>7919</v>
      </c>
      <c r="F38" s="388">
        <v>7919</v>
      </c>
      <c r="G38" s="388">
        <v>7919</v>
      </c>
      <c r="H38" s="388">
        <v>7919</v>
      </c>
      <c r="I38" s="388">
        <v>7919</v>
      </c>
      <c r="J38" s="966">
        <v>7871</v>
      </c>
      <c r="K38" s="998">
        <v>7871</v>
      </c>
      <c r="L38" s="821">
        <f>K38/J38</f>
        <v>1</v>
      </c>
      <c r="M38" s="388">
        <v>7919</v>
      </c>
      <c r="N38" s="388">
        <v>7919</v>
      </c>
      <c r="O38" s="388">
        <v>7919</v>
      </c>
      <c r="P38" s="388">
        <f>H38</f>
        <v>7919</v>
      </c>
      <c r="Q38" s="388">
        <f>I38</f>
        <v>7919</v>
      </c>
      <c r="R38" s="388">
        <f>J38</f>
        <v>7871</v>
      </c>
      <c r="S38" s="388">
        <f>K38</f>
        <v>7871</v>
      </c>
      <c r="T38" s="821">
        <f>S38/R38</f>
        <v>1</v>
      </c>
      <c r="U38" s="388"/>
      <c r="V38" s="388"/>
      <c r="W38" s="388"/>
      <c r="X38" s="388"/>
      <c r="Y38" s="388"/>
      <c r="Z38" s="388"/>
      <c r="AA38" s="388"/>
      <c r="AB38" s="821"/>
    </row>
    <row r="39" spans="1:28" ht="21.75" customHeight="1">
      <c r="A39" s="108"/>
      <c r="B39" s="113"/>
      <c r="C39" s="104" t="s">
        <v>397</v>
      </c>
      <c r="D39" s="346" t="s">
        <v>35</v>
      </c>
      <c r="E39" s="388"/>
      <c r="F39" s="388"/>
      <c r="G39" s="388"/>
      <c r="H39" s="388"/>
      <c r="I39" s="388"/>
      <c r="J39" s="966"/>
      <c r="K39" s="966"/>
      <c r="L39" s="946"/>
      <c r="M39" s="388"/>
      <c r="N39" s="388"/>
      <c r="O39" s="388"/>
      <c r="P39" s="388"/>
      <c r="Q39" s="388"/>
      <c r="R39" s="388"/>
      <c r="S39" s="388"/>
      <c r="T39" s="946"/>
      <c r="U39" s="388"/>
      <c r="V39" s="388"/>
      <c r="W39" s="388"/>
      <c r="X39" s="388"/>
      <c r="Y39" s="388"/>
      <c r="Z39" s="388"/>
      <c r="AA39" s="388"/>
      <c r="AB39" s="946"/>
    </row>
    <row r="40" spans="1:28" ht="21.75" customHeight="1" thickBot="1">
      <c r="A40" s="108"/>
      <c r="B40" s="113"/>
      <c r="C40" s="104" t="s">
        <v>398</v>
      </c>
      <c r="D40" s="346" t="s">
        <v>37</v>
      </c>
      <c r="E40" s="600">
        <v>24380</v>
      </c>
      <c r="F40" s="600">
        <f>24380+8150-3670</f>
        <v>28860</v>
      </c>
      <c r="G40" s="600">
        <f>24380+8150-3670-2556</f>
        <v>26304</v>
      </c>
      <c r="H40" s="600">
        <f>24380+8150-3670-2556-1207</f>
        <v>25097</v>
      </c>
      <c r="I40" s="600">
        <f>24380+8150-3670-2556-1207-2757+325+146+1257-596</f>
        <v>23472</v>
      </c>
      <c r="J40" s="967">
        <v>21750</v>
      </c>
      <c r="K40" s="1000">
        <v>21637</v>
      </c>
      <c r="L40" s="821">
        <f>K40/J40</f>
        <v>0.9948045977011494</v>
      </c>
      <c r="M40" s="600">
        <v>24380</v>
      </c>
      <c r="N40" s="600">
        <f>F40</f>
        <v>28860</v>
      </c>
      <c r="O40" s="600">
        <f>24380+8150-3670-2556</f>
        <v>26304</v>
      </c>
      <c r="P40" s="388">
        <f>H40</f>
        <v>25097</v>
      </c>
      <c r="Q40" s="388">
        <f>I40</f>
        <v>23472</v>
      </c>
      <c r="R40" s="388">
        <f>J40</f>
        <v>21750</v>
      </c>
      <c r="S40" s="388">
        <f>K40</f>
        <v>21637</v>
      </c>
      <c r="T40" s="821">
        <f>S40/R40</f>
        <v>0.9948045977011494</v>
      </c>
      <c r="U40" s="600"/>
      <c r="V40" s="600"/>
      <c r="W40" s="600"/>
      <c r="X40" s="600"/>
      <c r="Y40" s="600"/>
      <c r="Z40" s="600"/>
      <c r="AA40" s="600"/>
      <c r="AB40" s="821"/>
    </row>
    <row r="41" spans="1:28" ht="21.75" customHeight="1" thickBot="1">
      <c r="A41" s="115" t="s">
        <v>11</v>
      </c>
      <c r="B41" s="1114" t="s">
        <v>345</v>
      </c>
      <c r="C41" s="1114"/>
      <c r="D41" s="1114"/>
      <c r="E41" s="378">
        <f aca="true" t="shared" si="30" ref="E41:K41">SUM(E42:E43)</f>
        <v>35508</v>
      </c>
      <c r="F41" s="378">
        <f t="shared" si="30"/>
        <v>35508</v>
      </c>
      <c r="G41" s="378">
        <f t="shared" si="30"/>
        <v>35508</v>
      </c>
      <c r="H41" s="378">
        <f t="shared" si="30"/>
        <v>35508</v>
      </c>
      <c r="I41" s="378">
        <f t="shared" si="30"/>
        <v>35508</v>
      </c>
      <c r="J41" s="378">
        <f t="shared" si="30"/>
        <v>32330</v>
      </c>
      <c r="K41" s="378">
        <f t="shared" si="30"/>
        <v>32330</v>
      </c>
      <c r="L41" s="945">
        <f>K41/J41</f>
        <v>1</v>
      </c>
      <c r="M41" s="378">
        <f aca="true" t="shared" si="31" ref="M41:R41">SUM(M42:M43)</f>
        <v>35508</v>
      </c>
      <c r="N41" s="378">
        <f t="shared" si="31"/>
        <v>35508</v>
      </c>
      <c r="O41" s="378">
        <f t="shared" si="31"/>
        <v>35508</v>
      </c>
      <c r="P41" s="378">
        <f t="shared" si="31"/>
        <v>35508</v>
      </c>
      <c r="Q41" s="378">
        <f t="shared" si="31"/>
        <v>35508</v>
      </c>
      <c r="R41" s="378">
        <f t="shared" si="31"/>
        <v>32330</v>
      </c>
      <c r="S41" s="378">
        <f>SUM(S42:S43)</f>
        <v>32330</v>
      </c>
      <c r="T41" s="945">
        <f>S41/R41</f>
        <v>1</v>
      </c>
      <c r="U41" s="378">
        <f aca="true" t="shared" si="32" ref="U41:Z41">SUM(U42:U43)</f>
        <v>0</v>
      </c>
      <c r="V41" s="378">
        <f t="shared" si="32"/>
        <v>0</v>
      </c>
      <c r="W41" s="378">
        <f t="shared" si="32"/>
        <v>0</v>
      </c>
      <c r="X41" s="378">
        <f t="shared" si="32"/>
        <v>0</v>
      </c>
      <c r="Y41" s="378">
        <f t="shared" si="32"/>
        <v>0</v>
      </c>
      <c r="Z41" s="378">
        <f t="shared" si="32"/>
        <v>0</v>
      </c>
      <c r="AA41" s="378">
        <f>SUM(AA42:AA43)</f>
        <v>0</v>
      </c>
      <c r="AB41" s="945"/>
    </row>
    <row r="42" spans="1:28" ht="21.75" customHeight="1">
      <c r="A42" s="109"/>
      <c r="B42" s="116" t="s">
        <v>346</v>
      </c>
      <c r="C42" s="1111" t="s">
        <v>348</v>
      </c>
      <c r="D42" s="1111"/>
      <c r="E42" s="386"/>
      <c r="F42" s="386"/>
      <c r="G42" s="386"/>
      <c r="H42" s="386"/>
      <c r="I42" s="386"/>
      <c r="J42" s="968"/>
      <c r="K42" s="968"/>
      <c r="L42" s="948"/>
      <c r="M42" s="386"/>
      <c r="N42" s="386"/>
      <c r="O42" s="386"/>
      <c r="P42" s="386"/>
      <c r="Q42" s="386"/>
      <c r="R42" s="386"/>
      <c r="S42" s="386"/>
      <c r="T42" s="948"/>
      <c r="U42" s="386"/>
      <c r="V42" s="386"/>
      <c r="W42" s="386"/>
      <c r="X42" s="386"/>
      <c r="Y42" s="386"/>
      <c r="Z42" s="386"/>
      <c r="AA42" s="386"/>
      <c r="AB42" s="948"/>
    </row>
    <row r="43" spans="1:28" ht="21.75" customHeight="1">
      <c r="A43" s="108"/>
      <c r="B43" s="105" t="s">
        <v>347</v>
      </c>
      <c r="C43" s="1100" t="s">
        <v>349</v>
      </c>
      <c r="D43" s="1100"/>
      <c r="E43" s="388">
        <f aca="true" t="shared" si="33" ref="E43:K43">SUM(E44:E46)</f>
        <v>35508</v>
      </c>
      <c r="F43" s="388">
        <f t="shared" si="33"/>
        <v>35508</v>
      </c>
      <c r="G43" s="388">
        <f t="shared" si="33"/>
        <v>35508</v>
      </c>
      <c r="H43" s="388">
        <f t="shared" si="33"/>
        <v>35508</v>
      </c>
      <c r="I43" s="388">
        <f t="shared" si="33"/>
        <v>35508</v>
      </c>
      <c r="J43" s="388">
        <f t="shared" si="33"/>
        <v>32330</v>
      </c>
      <c r="K43" s="388">
        <f t="shared" si="33"/>
        <v>32330</v>
      </c>
      <c r="L43" s="821">
        <f>K43/J43</f>
        <v>1</v>
      </c>
      <c r="M43" s="388">
        <f aca="true" t="shared" si="34" ref="M43:R43">SUM(M44:M46)</f>
        <v>35508</v>
      </c>
      <c r="N43" s="388">
        <f t="shared" si="34"/>
        <v>35508</v>
      </c>
      <c r="O43" s="388">
        <f t="shared" si="34"/>
        <v>35508</v>
      </c>
      <c r="P43" s="388">
        <f t="shared" si="34"/>
        <v>35508</v>
      </c>
      <c r="Q43" s="388">
        <f t="shared" si="34"/>
        <v>35508</v>
      </c>
      <c r="R43" s="388">
        <f t="shared" si="34"/>
        <v>32330</v>
      </c>
      <c r="S43" s="388">
        <f>SUM(S44:S46)</f>
        <v>32330</v>
      </c>
      <c r="T43" s="821">
        <f>S43/R43</f>
        <v>1</v>
      </c>
      <c r="U43" s="388">
        <f aca="true" t="shared" si="35" ref="U43:Z43">SUM(U44:U46)</f>
        <v>0</v>
      </c>
      <c r="V43" s="388">
        <f t="shared" si="35"/>
        <v>0</v>
      </c>
      <c r="W43" s="388">
        <f t="shared" si="35"/>
        <v>0</v>
      </c>
      <c r="X43" s="388">
        <f t="shared" si="35"/>
        <v>0</v>
      </c>
      <c r="Y43" s="388">
        <f t="shared" si="35"/>
        <v>0</v>
      </c>
      <c r="Z43" s="388">
        <f t="shared" si="35"/>
        <v>0</v>
      </c>
      <c r="AA43" s="388">
        <f>SUM(AA44:AA46)</f>
        <v>0</v>
      </c>
      <c r="AB43" s="821"/>
    </row>
    <row r="44" spans="1:28" ht="21.75" customHeight="1">
      <c r="A44" s="108"/>
      <c r="B44" s="116"/>
      <c r="C44" s="110" t="s">
        <v>350</v>
      </c>
      <c r="D44" s="658" t="s">
        <v>36</v>
      </c>
      <c r="E44" s="388"/>
      <c r="F44" s="388"/>
      <c r="G44" s="388"/>
      <c r="H44" s="388"/>
      <c r="I44" s="388"/>
      <c r="J44" s="966"/>
      <c r="K44" s="966"/>
      <c r="L44" s="946"/>
      <c r="M44" s="388"/>
      <c r="N44" s="388"/>
      <c r="O44" s="388"/>
      <c r="P44" s="388"/>
      <c r="Q44" s="388"/>
      <c r="R44" s="388"/>
      <c r="S44" s="388"/>
      <c r="T44" s="946"/>
      <c r="U44" s="388"/>
      <c r="V44" s="388"/>
      <c r="W44" s="388"/>
      <c r="X44" s="388"/>
      <c r="Y44" s="388"/>
      <c r="Z44" s="388"/>
      <c r="AA44" s="388"/>
      <c r="AB44" s="946"/>
    </row>
    <row r="45" spans="1:28" ht="21.75" customHeight="1">
      <c r="A45" s="108"/>
      <c r="B45" s="105"/>
      <c r="C45" s="104" t="s">
        <v>351</v>
      </c>
      <c r="D45" s="658" t="s">
        <v>35</v>
      </c>
      <c r="E45" s="388"/>
      <c r="F45" s="388"/>
      <c r="G45" s="388"/>
      <c r="H45" s="388">
        <v>28721</v>
      </c>
      <c r="I45" s="388">
        <v>28721</v>
      </c>
      <c r="J45" s="966"/>
      <c r="K45" s="998"/>
      <c r="L45" s="821"/>
      <c r="M45" s="388"/>
      <c r="N45" s="388"/>
      <c r="O45" s="388"/>
      <c r="P45" s="388">
        <f aca="true" t="shared" si="36" ref="P45:S46">H45</f>
        <v>28721</v>
      </c>
      <c r="Q45" s="388">
        <f t="shared" si="36"/>
        <v>28721</v>
      </c>
      <c r="R45" s="388">
        <f t="shared" si="36"/>
        <v>0</v>
      </c>
      <c r="S45" s="388">
        <f t="shared" si="36"/>
        <v>0</v>
      </c>
      <c r="T45" s="821"/>
      <c r="U45" s="388"/>
      <c r="V45" s="388"/>
      <c r="W45" s="388"/>
      <c r="X45" s="388"/>
      <c r="Y45" s="388"/>
      <c r="Z45" s="388"/>
      <c r="AA45" s="388"/>
      <c r="AB45" s="821"/>
    </row>
    <row r="46" spans="1:28" ht="21.75" customHeight="1">
      <c r="A46" s="112"/>
      <c r="B46" s="116"/>
      <c r="C46" s="110" t="s">
        <v>352</v>
      </c>
      <c r="D46" s="658" t="s">
        <v>353</v>
      </c>
      <c r="E46" s="388">
        <v>35508</v>
      </c>
      <c r="F46" s="388">
        <v>35508</v>
      </c>
      <c r="G46" s="388">
        <v>35508</v>
      </c>
      <c r="H46" s="388">
        <f>35508-28721</f>
        <v>6787</v>
      </c>
      <c r="I46" s="388">
        <f>35508-28721</f>
        <v>6787</v>
      </c>
      <c r="J46" s="966">
        <v>32330</v>
      </c>
      <c r="K46" s="998">
        <v>32330</v>
      </c>
      <c r="L46" s="821">
        <f>K46/J46</f>
        <v>1</v>
      </c>
      <c r="M46" s="388">
        <v>35508</v>
      </c>
      <c r="N46" s="388">
        <v>35508</v>
      </c>
      <c r="O46" s="388">
        <v>35508</v>
      </c>
      <c r="P46" s="388">
        <f t="shared" si="36"/>
        <v>6787</v>
      </c>
      <c r="Q46" s="388">
        <f t="shared" si="36"/>
        <v>6787</v>
      </c>
      <c r="R46" s="388">
        <f t="shared" si="36"/>
        <v>32330</v>
      </c>
      <c r="S46" s="388">
        <f t="shared" si="36"/>
        <v>32330</v>
      </c>
      <c r="T46" s="821">
        <f>S46/R46</f>
        <v>1</v>
      </c>
      <c r="U46" s="388"/>
      <c r="V46" s="388"/>
      <c r="W46" s="388"/>
      <c r="X46" s="388"/>
      <c r="Y46" s="388"/>
      <c r="Z46" s="388"/>
      <c r="AA46" s="388"/>
      <c r="AB46" s="821"/>
    </row>
    <row r="47" spans="1:28" ht="21.75" customHeight="1" thickBot="1">
      <c r="A47" s="394"/>
      <c r="B47" s="105" t="s">
        <v>384</v>
      </c>
      <c r="C47" s="1100" t="s">
        <v>385</v>
      </c>
      <c r="D47" s="1100"/>
      <c r="E47" s="388"/>
      <c r="F47" s="388"/>
      <c r="G47" s="388"/>
      <c r="H47" s="388"/>
      <c r="I47" s="388"/>
      <c r="J47" s="966"/>
      <c r="K47" s="966"/>
      <c r="L47" s="946"/>
      <c r="M47" s="388"/>
      <c r="N47" s="388"/>
      <c r="O47" s="388"/>
      <c r="P47" s="388"/>
      <c r="Q47" s="388"/>
      <c r="R47" s="388"/>
      <c r="S47" s="388"/>
      <c r="T47" s="946"/>
      <c r="U47" s="388"/>
      <c r="V47" s="388"/>
      <c r="W47" s="388"/>
      <c r="X47" s="388"/>
      <c r="Y47" s="388"/>
      <c r="Z47" s="388"/>
      <c r="AA47" s="388"/>
      <c r="AB47" s="946"/>
    </row>
    <row r="48" spans="1:28" ht="21.75" customHeight="1" hidden="1" thickBot="1">
      <c r="A48" s="394"/>
      <c r="B48" s="116"/>
      <c r="C48" s="1107"/>
      <c r="D48" s="1107"/>
      <c r="E48" s="600"/>
      <c r="F48" s="600"/>
      <c r="G48" s="600"/>
      <c r="H48" s="600"/>
      <c r="I48" s="600"/>
      <c r="J48" s="967"/>
      <c r="K48" s="967"/>
      <c r="L48" s="947" t="e">
        <f>I48/H48</f>
        <v>#DIV/0!</v>
      </c>
      <c r="M48" s="600"/>
      <c r="N48" s="600"/>
      <c r="O48" s="600"/>
      <c r="P48" s="600"/>
      <c r="Q48" s="600"/>
      <c r="R48" s="600"/>
      <c r="S48" s="600"/>
      <c r="T48" s="947" t="e">
        <f>Q48/P48</f>
        <v>#DIV/0!</v>
      </c>
      <c r="U48" s="600"/>
      <c r="V48" s="600"/>
      <c r="W48" s="600"/>
      <c r="X48" s="600"/>
      <c r="Y48" s="600"/>
      <c r="Z48" s="600"/>
      <c r="AA48" s="600"/>
      <c r="AB48" s="947"/>
    </row>
    <row r="49" spans="1:28" ht="21.75" customHeight="1" thickBot="1">
      <c r="A49" s="115" t="s">
        <v>12</v>
      </c>
      <c r="B49" s="1104" t="s">
        <v>80</v>
      </c>
      <c r="C49" s="1104"/>
      <c r="D49" s="1104"/>
      <c r="E49" s="378">
        <f aca="true" t="shared" si="37" ref="E49:O49">E50+E51</f>
        <v>60</v>
      </c>
      <c r="F49" s="378">
        <f t="shared" si="37"/>
        <v>60</v>
      </c>
      <c r="G49" s="378">
        <f t="shared" si="37"/>
        <v>405</v>
      </c>
      <c r="H49" s="378">
        <f t="shared" si="37"/>
        <v>805</v>
      </c>
      <c r="I49" s="378">
        <f>I50+I51</f>
        <v>805</v>
      </c>
      <c r="J49" s="378">
        <f>J50+J51</f>
        <v>805</v>
      </c>
      <c r="K49" s="378">
        <f>K50+K51</f>
        <v>805</v>
      </c>
      <c r="L49" s="945">
        <f>K49/J49</f>
        <v>1</v>
      </c>
      <c r="M49" s="378">
        <f t="shared" si="37"/>
        <v>60</v>
      </c>
      <c r="N49" s="378">
        <f t="shared" si="37"/>
        <v>60</v>
      </c>
      <c r="O49" s="378">
        <f t="shared" si="37"/>
        <v>405</v>
      </c>
      <c r="P49" s="378">
        <f>P50+P51</f>
        <v>805</v>
      </c>
      <c r="Q49" s="378">
        <f>Q50+Q51</f>
        <v>805</v>
      </c>
      <c r="R49" s="378">
        <f>R50+R51</f>
        <v>805</v>
      </c>
      <c r="S49" s="378">
        <f>S50+S51</f>
        <v>805</v>
      </c>
      <c r="T49" s="945">
        <f>S49/R49</f>
        <v>1</v>
      </c>
      <c r="U49" s="378">
        <f aca="true" t="shared" si="38" ref="U49:Z49">U50+U51</f>
        <v>0</v>
      </c>
      <c r="V49" s="378">
        <f t="shared" si="38"/>
        <v>0</v>
      </c>
      <c r="W49" s="378">
        <f t="shared" si="38"/>
        <v>0</v>
      </c>
      <c r="X49" s="378">
        <f t="shared" si="38"/>
        <v>0</v>
      </c>
      <c r="Y49" s="378">
        <f t="shared" si="38"/>
        <v>0</v>
      </c>
      <c r="Z49" s="378">
        <f t="shared" si="38"/>
        <v>0</v>
      </c>
      <c r="AA49" s="378">
        <f>AA50+AA51</f>
        <v>0</v>
      </c>
      <c r="AB49" s="945"/>
    </row>
    <row r="50" spans="1:28" s="7" customFormat="1" ht="21.75" customHeight="1">
      <c r="A50" s="117"/>
      <c r="B50" s="116" t="s">
        <v>47</v>
      </c>
      <c r="C50" s="1111" t="s">
        <v>366</v>
      </c>
      <c r="D50" s="1111"/>
      <c r="E50" s="387">
        <v>60</v>
      </c>
      <c r="F50" s="387">
        <v>60</v>
      </c>
      <c r="G50" s="387">
        <f>60+345</f>
        <v>405</v>
      </c>
      <c r="H50" s="387">
        <f>60+345+400</f>
        <v>805</v>
      </c>
      <c r="I50" s="387">
        <f>60+345+400</f>
        <v>805</v>
      </c>
      <c r="J50" s="969">
        <v>805</v>
      </c>
      <c r="K50" s="1001">
        <v>805</v>
      </c>
      <c r="L50" s="821">
        <f>K50/J50</f>
        <v>1</v>
      </c>
      <c r="M50" s="387">
        <v>60</v>
      </c>
      <c r="N50" s="387">
        <v>60</v>
      </c>
      <c r="O50" s="387">
        <v>405</v>
      </c>
      <c r="P50" s="388">
        <f>H50</f>
        <v>805</v>
      </c>
      <c r="Q50" s="388">
        <f>I50</f>
        <v>805</v>
      </c>
      <c r="R50" s="388">
        <f>J50</f>
        <v>805</v>
      </c>
      <c r="S50" s="388">
        <f>K50</f>
        <v>805</v>
      </c>
      <c r="T50" s="821">
        <f>S50/R50</f>
        <v>1</v>
      </c>
      <c r="U50" s="387"/>
      <c r="V50" s="387"/>
      <c r="W50" s="387"/>
      <c r="X50" s="387"/>
      <c r="Y50" s="387"/>
      <c r="Z50" s="387"/>
      <c r="AA50" s="387"/>
      <c r="AB50" s="821"/>
    </row>
    <row r="51" spans="1:28" ht="21.75" customHeight="1" thickBot="1">
      <c r="A51" s="108"/>
      <c r="B51" s="104" t="s">
        <v>48</v>
      </c>
      <c r="C51" s="1100" t="s">
        <v>367</v>
      </c>
      <c r="D51" s="1100"/>
      <c r="E51" s="368"/>
      <c r="F51" s="368"/>
      <c r="G51" s="368"/>
      <c r="H51" s="368"/>
      <c r="I51" s="368"/>
      <c r="J51" s="970"/>
      <c r="K51" s="970"/>
      <c r="L51" s="934"/>
      <c r="M51" s="368"/>
      <c r="N51" s="368"/>
      <c r="O51" s="368"/>
      <c r="P51" s="368"/>
      <c r="Q51" s="368"/>
      <c r="R51" s="368"/>
      <c r="S51" s="368"/>
      <c r="T51" s="934"/>
      <c r="U51" s="368"/>
      <c r="V51" s="368"/>
      <c r="W51" s="368"/>
      <c r="X51" s="368"/>
      <c r="Y51" s="368"/>
      <c r="Z51" s="368"/>
      <c r="AA51" s="368"/>
      <c r="AB51" s="934"/>
    </row>
    <row r="52" spans="1:28" ht="21.75" customHeight="1" thickBot="1">
      <c r="A52" s="115" t="s">
        <v>13</v>
      </c>
      <c r="B52" s="1104" t="s">
        <v>354</v>
      </c>
      <c r="C52" s="1104"/>
      <c r="D52" s="1104"/>
      <c r="E52" s="373">
        <f aca="true" t="shared" si="39" ref="E52:O52">SUM(E53:E54)</f>
        <v>2500</v>
      </c>
      <c r="F52" s="373">
        <f t="shared" si="39"/>
        <v>2500</v>
      </c>
      <c r="G52" s="373">
        <f t="shared" si="39"/>
        <v>2538</v>
      </c>
      <c r="H52" s="373">
        <f t="shared" si="39"/>
        <v>2538</v>
      </c>
      <c r="I52" s="373">
        <f>SUM(I53:I54)</f>
        <v>2540</v>
      </c>
      <c r="J52" s="373">
        <f>SUM(J53:J54)</f>
        <v>2542</v>
      </c>
      <c r="K52" s="373">
        <f>SUM(K53:K54)</f>
        <v>2542</v>
      </c>
      <c r="L52" s="945">
        <f>K52/J52</f>
        <v>1</v>
      </c>
      <c r="M52" s="373">
        <f t="shared" si="39"/>
        <v>2500</v>
      </c>
      <c r="N52" s="373">
        <f t="shared" si="39"/>
        <v>2500</v>
      </c>
      <c r="O52" s="373">
        <f t="shared" si="39"/>
        <v>2538</v>
      </c>
      <c r="P52" s="373">
        <f>SUM(P53:P54)</f>
        <v>2538</v>
      </c>
      <c r="Q52" s="373">
        <f>SUM(Q53:Q54)</f>
        <v>2540</v>
      </c>
      <c r="R52" s="373">
        <f>SUM(R53:R54)</f>
        <v>2542</v>
      </c>
      <c r="S52" s="373">
        <f>SUM(S53:S54)</f>
        <v>2542</v>
      </c>
      <c r="T52" s="945">
        <f>S52/R52</f>
        <v>1</v>
      </c>
      <c r="U52" s="373">
        <f aca="true" t="shared" si="40" ref="U52:Z52">SUM(U53:U54)</f>
        <v>0</v>
      </c>
      <c r="V52" s="373">
        <f t="shared" si="40"/>
        <v>0</v>
      </c>
      <c r="W52" s="373">
        <f t="shared" si="40"/>
        <v>0</v>
      </c>
      <c r="X52" s="373">
        <f t="shared" si="40"/>
        <v>0</v>
      </c>
      <c r="Y52" s="373">
        <f t="shared" si="40"/>
        <v>0</v>
      </c>
      <c r="Z52" s="373">
        <f t="shared" si="40"/>
        <v>0</v>
      </c>
      <c r="AA52" s="373">
        <f>SUM(AA53:AA54)</f>
        <v>0</v>
      </c>
      <c r="AB52" s="945"/>
    </row>
    <row r="53" spans="1:28" s="7" customFormat="1" ht="21.75" customHeight="1">
      <c r="A53" s="117"/>
      <c r="B53" s="110" t="s">
        <v>49</v>
      </c>
      <c r="C53" s="1111" t="s">
        <v>356</v>
      </c>
      <c r="D53" s="1111"/>
      <c r="E53" s="374">
        <v>2500</v>
      </c>
      <c r="F53" s="374">
        <v>2500</v>
      </c>
      <c r="G53" s="374">
        <f>2500+38</f>
        <v>2538</v>
      </c>
      <c r="H53" s="374">
        <f>2500+38</f>
        <v>2538</v>
      </c>
      <c r="I53" s="374">
        <f>2500+38+2</f>
        <v>2540</v>
      </c>
      <c r="J53" s="956">
        <v>2542</v>
      </c>
      <c r="K53" s="1002">
        <v>2542</v>
      </c>
      <c r="L53" s="821">
        <f>K53/J53</f>
        <v>1</v>
      </c>
      <c r="M53" s="374">
        <v>2500</v>
      </c>
      <c r="N53" s="374">
        <v>2500</v>
      </c>
      <c r="O53" s="374">
        <v>2538</v>
      </c>
      <c r="P53" s="388">
        <f>H53</f>
        <v>2538</v>
      </c>
      <c r="Q53" s="388">
        <f>I53</f>
        <v>2540</v>
      </c>
      <c r="R53" s="388">
        <f>J53</f>
        <v>2542</v>
      </c>
      <c r="S53" s="388">
        <f>K53</f>
        <v>2542</v>
      </c>
      <c r="T53" s="821">
        <f>S53/R53</f>
        <v>1</v>
      </c>
      <c r="U53" s="374"/>
      <c r="V53" s="374"/>
      <c r="W53" s="374"/>
      <c r="X53" s="374"/>
      <c r="Y53" s="374"/>
      <c r="Z53" s="374"/>
      <c r="AA53" s="374"/>
      <c r="AB53" s="821"/>
    </row>
    <row r="54" spans="1:28" ht="21.75" customHeight="1" thickBot="1">
      <c r="A54" s="112"/>
      <c r="B54" s="113" t="s">
        <v>355</v>
      </c>
      <c r="C54" s="1113" t="s">
        <v>357</v>
      </c>
      <c r="D54" s="1113"/>
      <c r="E54" s="389">
        <v>0</v>
      </c>
      <c r="F54" s="389">
        <v>0</v>
      </c>
      <c r="G54" s="389">
        <v>0</v>
      </c>
      <c r="H54" s="389">
        <v>0</v>
      </c>
      <c r="I54" s="389">
        <v>0</v>
      </c>
      <c r="J54" s="961"/>
      <c r="K54" s="961"/>
      <c r="L54" s="935"/>
      <c r="M54" s="389">
        <v>0</v>
      </c>
      <c r="N54" s="389">
        <v>0</v>
      </c>
      <c r="O54" s="389">
        <v>0</v>
      </c>
      <c r="P54" s="389">
        <v>0</v>
      </c>
      <c r="Q54" s="389">
        <v>0</v>
      </c>
      <c r="R54" s="389">
        <v>0</v>
      </c>
      <c r="S54" s="389">
        <v>0</v>
      </c>
      <c r="T54" s="935"/>
      <c r="U54" s="389"/>
      <c r="V54" s="389"/>
      <c r="W54" s="389"/>
      <c r="X54" s="389"/>
      <c r="Y54" s="389"/>
      <c r="Z54" s="389"/>
      <c r="AA54" s="389"/>
      <c r="AB54" s="935"/>
    </row>
    <row r="55" spans="1:28" ht="21.75" customHeight="1" thickBot="1">
      <c r="A55" s="115" t="s">
        <v>14</v>
      </c>
      <c r="B55" s="1112" t="s">
        <v>82</v>
      </c>
      <c r="C55" s="1112"/>
      <c r="D55" s="1112"/>
      <c r="E55" s="373">
        <f aca="true" t="shared" si="41" ref="E55:K55">E7+E21+E41+E49+E52+E32</f>
        <v>443497</v>
      </c>
      <c r="F55" s="373">
        <f t="shared" si="41"/>
        <v>451647</v>
      </c>
      <c r="G55" s="373">
        <f t="shared" si="41"/>
        <v>459570</v>
      </c>
      <c r="H55" s="373">
        <f t="shared" si="41"/>
        <v>463195</v>
      </c>
      <c r="I55" s="373">
        <f t="shared" si="41"/>
        <v>497137</v>
      </c>
      <c r="J55" s="373">
        <f t="shared" si="41"/>
        <v>547022</v>
      </c>
      <c r="K55" s="373">
        <f t="shared" si="41"/>
        <v>539152</v>
      </c>
      <c r="L55" s="945">
        <f>K55/J55</f>
        <v>0.9856130100800333</v>
      </c>
      <c r="M55" s="373">
        <f aca="true" t="shared" si="42" ref="M55:R55">M7+M21+M41+M49+M52+M32</f>
        <v>422662</v>
      </c>
      <c r="N55" s="373">
        <f t="shared" si="42"/>
        <v>430812</v>
      </c>
      <c r="O55" s="373">
        <f t="shared" si="42"/>
        <v>437902</v>
      </c>
      <c r="P55" s="373">
        <f t="shared" si="42"/>
        <v>441527</v>
      </c>
      <c r="Q55" s="373">
        <f t="shared" si="42"/>
        <v>475469</v>
      </c>
      <c r="R55" s="373">
        <f t="shared" si="42"/>
        <v>526038</v>
      </c>
      <c r="S55" s="373">
        <f>S7+S21+S41+S49+S52+S32</f>
        <v>521738</v>
      </c>
      <c r="T55" s="945">
        <f>S55/R55</f>
        <v>0.991825685596858</v>
      </c>
      <c r="U55" s="373">
        <f aca="true" t="shared" si="43" ref="U55:Z55">U7+U21+U41+U49+U52+U32</f>
        <v>20835</v>
      </c>
      <c r="V55" s="373">
        <f t="shared" si="43"/>
        <v>20835</v>
      </c>
      <c r="W55" s="373">
        <f t="shared" si="43"/>
        <v>21668</v>
      </c>
      <c r="X55" s="373">
        <f t="shared" si="43"/>
        <v>21668</v>
      </c>
      <c r="Y55" s="373">
        <f t="shared" si="43"/>
        <v>21668</v>
      </c>
      <c r="Z55" s="373">
        <f t="shared" si="43"/>
        <v>20984</v>
      </c>
      <c r="AA55" s="373">
        <f>AA7+AA21+AA41+AA49+AA52+AA32</f>
        <v>17414</v>
      </c>
      <c r="AB55" s="945">
        <f>AA55/Z55</f>
        <v>0.8298703774304231</v>
      </c>
    </row>
    <row r="56" spans="1:28" ht="24" customHeight="1" thickBot="1">
      <c r="A56" s="111" t="s">
        <v>63</v>
      </c>
      <c r="B56" s="1104" t="s">
        <v>358</v>
      </c>
      <c r="C56" s="1104"/>
      <c r="D56" s="1104"/>
      <c r="E56" s="373">
        <f aca="true" t="shared" si="44" ref="E56:O56">SUM(E57:E59)</f>
        <v>106458</v>
      </c>
      <c r="F56" s="373">
        <f t="shared" si="44"/>
        <v>106458</v>
      </c>
      <c r="G56" s="373">
        <f t="shared" si="44"/>
        <v>106433</v>
      </c>
      <c r="H56" s="373">
        <f t="shared" si="44"/>
        <v>106433</v>
      </c>
      <c r="I56" s="373">
        <f>SUM(I57:I59)</f>
        <v>120166</v>
      </c>
      <c r="J56" s="373">
        <f>SUM(J57:J59)</f>
        <v>96620</v>
      </c>
      <c r="K56" s="373">
        <f>SUM(K57:K59)</f>
        <v>96620</v>
      </c>
      <c r="L56" s="945">
        <f>K56/J56</f>
        <v>1</v>
      </c>
      <c r="M56" s="373">
        <f t="shared" si="44"/>
        <v>106458</v>
      </c>
      <c r="N56" s="373">
        <f t="shared" si="44"/>
        <v>106458</v>
      </c>
      <c r="O56" s="373">
        <f t="shared" si="44"/>
        <v>106433</v>
      </c>
      <c r="P56" s="373">
        <f>SUM(P57:P59)</f>
        <v>106433</v>
      </c>
      <c r="Q56" s="373">
        <f>SUM(Q57:Q59)</f>
        <v>120166</v>
      </c>
      <c r="R56" s="373">
        <f>SUM(R57:R59)</f>
        <v>96620</v>
      </c>
      <c r="S56" s="373">
        <f>SUM(S57:S59)</f>
        <v>96620</v>
      </c>
      <c r="T56" s="945">
        <f>S56/R56</f>
        <v>1</v>
      </c>
      <c r="U56" s="373">
        <f aca="true" t="shared" si="45" ref="U56:Z56">SUM(U57:U59)</f>
        <v>0</v>
      </c>
      <c r="V56" s="373">
        <f t="shared" si="45"/>
        <v>0</v>
      </c>
      <c r="W56" s="373">
        <f t="shared" si="45"/>
        <v>0</v>
      </c>
      <c r="X56" s="373">
        <f t="shared" si="45"/>
        <v>0</v>
      </c>
      <c r="Y56" s="373">
        <f t="shared" si="45"/>
        <v>0</v>
      </c>
      <c r="Z56" s="373">
        <f t="shared" si="45"/>
        <v>0</v>
      </c>
      <c r="AA56" s="373">
        <f>SUM(AA57:AA59)</f>
        <v>0</v>
      </c>
      <c r="AB56" s="945"/>
    </row>
    <row r="57" spans="1:28" ht="21.75" customHeight="1">
      <c r="A57" s="109"/>
      <c r="B57" s="110" t="s">
        <v>50</v>
      </c>
      <c r="C57" s="1111" t="s">
        <v>359</v>
      </c>
      <c r="D57" s="1111"/>
      <c r="E57" s="374">
        <v>32367</v>
      </c>
      <c r="F57" s="374">
        <v>32367</v>
      </c>
      <c r="G57" s="374">
        <f>32367-38+13</f>
        <v>32342</v>
      </c>
      <c r="H57" s="374">
        <f>32367-38+13</f>
        <v>32342</v>
      </c>
      <c r="I57" s="374">
        <f>32367-38+13</f>
        <v>32342</v>
      </c>
      <c r="J57" s="956">
        <v>0</v>
      </c>
      <c r="K57" s="1002"/>
      <c r="L57" s="821"/>
      <c r="M57" s="374">
        <v>32367</v>
      </c>
      <c r="N57" s="374">
        <v>32367</v>
      </c>
      <c r="O57" s="374">
        <v>32342</v>
      </c>
      <c r="P57" s="388">
        <f>H57</f>
        <v>32342</v>
      </c>
      <c r="Q57" s="388">
        <f>I57</f>
        <v>32342</v>
      </c>
      <c r="R57" s="388">
        <f>J57</f>
        <v>0</v>
      </c>
      <c r="S57" s="388">
        <f>K57</f>
        <v>0</v>
      </c>
      <c r="T57" s="821"/>
      <c r="U57" s="374"/>
      <c r="V57" s="374"/>
      <c r="W57" s="374"/>
      <c r="X57" s="374"/>
      <c r="Y57" s="374"/>
      <c r="Z57" s="374"/>
      <c r="AA57" s="374"/>
      <c r="AB57" s="821"/>
    </row>
    <row r="58" spans="1:28" ht="21.75" customHeight="1">
      <c r="A58" s="108"/>
      <c r="B58" s="105" t="s">
        <v>51</v>
      </c>
      <c r="C58" s="1111" t="s">
        <v>542</v>
      </c>
      <c r="D58" s="1111"/>
      <c r="E58" s="369"/>
      <c r="F58" s="369"/>
      <c r="G58" s="369"/>
      <c r="H58" s="369"/>
      <c r="I58" s="369"/>
      <c r="J58" s="958">
        <v>8964</v>
      </c>
      <c r="K58" s="958">
        <v>8964</v>
      </c>
      <c r="L58" s="821">
        <f>K58/J58</f>
        <v>1</v>
      </c>
      <c r="M58" s="369"/>
      <c r="N58" s="369"/>
      <c r="O58" s="369"/>
      <c r="P58" s="369"/>
      <c r="Q58" s="369"/>
      <c r="R58" s="369">
        <f>J58</f>
        <v>8964</v>
      </c>
      <c r="S58" s="369">
        <f>K58</f>
        <v>8964</v>
      </c>
      <c r="T58" s="821">
        <f>S58/R58</f>
        <v>1</v>
      </c>
      <c r="U58" s="369"/>
      <c r="V58" s="369"/>
      <c r="W58" s="369"/>
      <c r="X58" s="369"/>
      <c r="Y58" s="369"/>
      <c r="Z58" s="369"/>
      <c r="AA58" s="369"/>
      <c r="AB58" s="821"/>
    </row>
    <row r="59" spans="1:28" ht="21.75" customHeight="1" thickBot="1">
      <c r="A59" s="108"/>
      <c r="B59" s="105" t="s">
        <v>81</v>
      </c>
      <c r="C59" s="1111" t="s">
        <v>360</v>
      </c>
      <c r="D59" s="1111"/>
      <c r="E59" s="369">
        <v>74091</v>
      </c>
      <c r="F59" s="369">
        <v>74091</v>
      </c>
      <c r="G59" s="369">
        <v>74091</v>
      </c>
      <c r="H59" s="369">
        <v>74091</v>
      </c>
      <c r="I59" s="369">
        <f>74091+13733</f>
        <v>87824</v>
      </c>
      <c r="J59" s="958">
        <v>87656</v>
      </c>
      <c r="K59" s="1003">
        <v>87656</v>
      </c>
      <c r="L59" s="821">
        <f>K59/J59</f>
        <v>1</v>
      </c>
      <c r="M59" s="369">
        <v>74091</v>
      </c>
      <c r="N59" s="369">
        <v>74091</v>
      </c>
      <c r="O59" s="369">
        <v>74091</v>
      </c>
      <c r="P59" s="388">
        <f>H59</f>
        <v>74091</v>
      </c>
      <c r="Q59" s="388">
        <f>I59</f>
        <v>87824</v>
      </c>
      <c r="R59" s="388">
        <f>J59</f>
        <v>87656</v>
      </c>
      <c r="S59" s="388">
        <f>K59</f>
        <v>87656</v>
      </c>
      <c r="T59" s="821">
        <f>S59/R59</f>
        <v>1</v>
      </c>
      <c r="U59" s="369"/>
      <c r="V59" s="369"/>
      <c r="W59" s="369"/>
      <c r="X59" s="369"/>
      <c r="Y59" s="369"/>
      <c r="Z59" s="369"/>
      <c r="AA59" s="369"/>
      <c r="AB59" s="821"/>
    </row>
    <row r="60" spans="1:28" ht="35.25" customHeight="1" thickBot="1">
      <c r="A60" s="115" t="s">
        <v>64</v>
      </c>
      <c r="B60" s="1110" t="s">
        <v>83</v>
      </c>
      <c r="C60" s="1110"/>
      <c r="D60" s="1110"/>
      <c r="E60" s="375">
        <f aca="true" t="shared" si="46" ref="E60:O60">E55+E56</f>
        <v>549955</v>
      </c>
      <c r="F60" s="375">
        <f t="shared" si="46"/>
        <v>558105</v>
      </c>
      <c r="G60" s="375">
        <f t="shared" si="46"/>
        <v>566003</v>
      </c>
      <c r="H60" s="375">
        <f t="shared" si="46"/>
        <v>569628</v>
      </c>
      <c r="I60" s="375">
        <f>I55+I56</f>
        <v>617303</v>
      </c>
      <c r="J60" s="375">
        <f>J55+J56</f>
        <v>643642</v>
      </c>
      <c r="K60" s="375">
        <f>K55+K56</f>
        <v>635772</v>
      </c>
      <c r="L60" s="945">
        <f>K60/J60</f>
        <v>0.9877727059452305</v>
      </c>
      <c r="M60" s="375">
        <f t="shared" si="46"/>
        <v>529120</v>
      </c>
      <c r="N60" s="375">
        <f t="shared" si="46"/>
        <v>537270</v>
      </c>
      <c r="O60" s="375">
        <f t="shared" si="46"/>
        <v>544335</v>
      </c>
      <c r="P60" s="375">
        <f>P55+P56</f>
        <v>547960</v>
      </c>
      <c r="Q60" s="375">
        <f>Q55+Q56</f>
        <v>595635</v>
      </c>
      <c r="R60" s="375">
        <f>R55+R56</f>
        <v>622658</v>
      </c>
      <c r="S60" s="375">
        <f>S55+S56</f>
        <v>618358</v>
      </c>
      <c r="T60" s="945">
        <f>S60/R60</f>
        <v>0.9930941222950641</v>
      </c>
      <c r="U60" s="375">
        <f aca="true" t="shared" si="47" ref="U60:Z60">U55+U56</f>
        <v>20835</v>
      </c>
      <c r="V60" s="375">
        <f t="shared" si="47"/>
        <v>20835</v>
      </c>
      <c r="W60" s="375">
        <f t="shared" si="47"/>
        <v>21668</v>
      </c>
      <c r="X60" s="375">
        <f t="shared" si="47"/>
        <v>21668</v>
      </c>
      <c r="Y60" s="375">
        <f t="shared" si="47"/>
        <v>21668</v>
      </c>
      <c r="Z60" s="375">
        <f t="shared" si="47"/>
        <v>20984</v>
      </c>
      <c r="AA60" s="375">
        <f>AA55+AA56</f>
        <v>17414</v>
      </c>
      <c r="AB60" s="945">
        <f>AA60/Z60</f>
        <v>0.8298703774304231</v>
      </c>
    </row>
    <row r="61" spans="1:28" ht="21.75" customHeight="1" hidden="1" thickBot="1">
      <c r="A61" s="1105" t="s">
        <v>258</v>
      </c>
      <c r="B61" s="1106"/>
      <c r="C61" s="1106"/>
      <c r="D61" s="1106"/>
      <c r="E61" s="602"/>
      <c r="F61" s="602"/>
      <c r="G61" s="602"/>
      <c r="H61" s="602"/>
      <c r="I61" s="602"/>
      <c r="J61" s="602"/>
      <c r="K61" s="602"/>
      <c r="L61" s="945" t="e">
        <f>J61/I61</f>
        <v>#DIV/0!</v>
      </c>
      <c r="M61" s="602"/>
      <c r="N61" s="602"/>
      <c r="O61" s="602"/>
      <c r="P61" s="602"/>
      <c r="Q61" s="602"/>
      <c r="R61" s="602"/>
      <c r="S61" s="602"/>
      <c r="T61" s="945" t="e">
        <f>R61/Q61</f>
        <v>#DIV/0!</v>
      </c>
      <c r="U61" s="602"/>
      <c r="V61" s="602"/>
      <c r="W61" s="602"/>
      <c r="X61" s="602"/>
      <c r="Y61" s="602"/>
      <c r="Z61" s="602"/>
      <c r="AA61" s="602"/>
      <c r="AB61" s="945" t="e">
        <f>Z61/Y61</f>
        <v>#DIV/0!</v>
      </c>
    </row>
    <row r="62" spans="1:28" ht="21.75" customHeight="1" thickBot="1">
      <c r="A62" s="1109" t="s">
        <v>7</v>
      </c>
      <c r="B62" s="1110"/>
      <c r="C62" s="1110"/>
      <c r="D62" s="1110"/>
      <c r="E62" s="426">
        <f aca="true" t="shared" si="48" ref="E62:J62">E60+E61</f>
        <v>549955</v>
      </c>
      <c r="F62" s="426">
        <f t="shared" si="48"/>
        <v>558105</v>
      </c>
      <c r="G62" s="426">
        <f t="shared" si="48"/>
        <v>566003</v>
      </c>
      <c r="H62" s="426">
        <f t="shared" si="48"/>
        <v>569628</v>
      </c>
      <c r="I62" s="426">
        <f t="shared" si="48"/>
        <v>617303</v>
      </c>
      <c r="J62" s="426">
        <f t="shared" si="48"/>
        <v>643642</v>
      </c>
      <c r="K62" s="426">
        <f>K60+K61</f>
        <v>635772</v>
      </c>
      <c r="L62" s="945">
        <f>K62/J62</f>
        <v>0.9877727059452305</v>
      </c>
      <c r="M62" s="426">
        <f aca="true" t="shared" si="49" ref="M62:R62">M60+M61</f>
        <v>529120</v>
      </c>
      <c r="N62" s="426">
        <f t="shared" si="49"/>
        <v>537270</v>
      </c>
      <c r="O62" s="426">
        <f t="shared" si="49"/>
        <v>544335</v>
      </c>
      <c r="P62" s="426">
        <f t="shared" si="49"/>
        <v>547960</v>
      </c>
      <c r="Q62" s="426">
        <f t="shared" si="49"/>
        <v>595635</v>
      </c>
      <c r="R62" s="426">
        <f t="shared" si="49"/>
        <v>622658</v>
      </c>
      <c r="S62" s="426">
        <f>S60+S61</f>
        <v>618358</v>
      </c>
      <c r="T62" s="945">
        <f>S62/R62</f>
        <v>0.9930941222950641</v>
      </c>
      <c r="U62" s="426">
        <f aca="true" t="shared" si="50" ref="U62:Z62">U60+U61</f>
        <v>20835</v>
      </c>
      <c r="V62" s="426">
        <f t="shared" si="50"/>
        <v>20835</v>
      </c>
      <c r="W62" s="426">
        <f t="shared" si="50"/>
        <v>21668</v>
      </c>
      <c r="X62" s="426">
        <f t="shared" si="50"/>
        <v>21668</v>
      </c>
      <c r="Y62" s="426">
        <f t="shared" si="50"/>
        <v>21668</v>
      </c>
      <c r="Z62" s="426">
        <f t="shared" si="50"/>
        <v>20984</v>
      </c>
      <c r="AA62" s="426">
        <f>AA60+AA61</f>
        <v>17414</v>
      </c>
      <c r="AB62" s="945">
        <f>AA62/Z62</f>
        <v>0.8298703774304231</v>
      </c>
    </row>
    <row r="63" spans="1:28" ht="21.75" customHeight="1">
      <c r="A63" s="604"/>
      <c r="B63" s="605"/>
      <c r="C63" s="605"/>
      <c r="D63" s="605"/>
      <c r="E63" s="606"/>
      <c r="F63" s="606"/>
      <c r="G63" s="606"/>
      <c r="H63" s="606"/>
      <c r="I63" s="606"/>
      <c r="J63" s="606"/>
      <c r="K63" s="606"/>
      <c r="L63" s="606"/>
      <c r="M63" s="606"/>
      <c r="N63" s="606"/>
      <c r="O63" s="606"/>
      <c r="P63" s="606"/>
      <c r="Q63" s="606"/>
      <c r="R63" s="606"/>
      <c r="S63" s="606"/>
      <c r="T63" s="606"/>
      <c r="U63" s="606"/>
      <c r="V63" s="606"/>
      <c r="W63" s="606"/>
      <c r="X63" s="606"/>
      <c r="Y63" s="606"/>
      <c r="Z63" s="606"/>
      <c r="AA63" s="606"/>
      <c r="AB63" s="606"/>
    </row>
    <row r="64" spans="1:24" ht="21.75" customHeight="1">
      <c r="A64" s="94"/>
      <c r="B64" s="141"/>
      <c r="C64" s="141"/>
      <c r="D64" s="141"/>
      <c r="E64" s="342"/>
      <c r="F64" s="342"/>
      <c r="G64" s="342"/>
      <c r="H64" s="342"/>
      <c r="I64" s="341"/>
      <c r="J64" s="341"/>
      <c r="K64" s="341"/>
      <c r="L64" s="342"/>
      <c r="M64" s="342"/>
      <c r="V64" s="342"/>
      <c r="W64" s="342"/>
      <c r="X64" s="342"/>
    </row>
    <row r="65" spans="1:24" ht="35.25" customHeight="1">
      <c r="A65" s="94"/>
      <c r="B65" s="141"/>
      <c r="C65" s="141"/>
      <c r="D65" s="141"/>
      <c r="E65" s="342"/>
      <c r="F65" s="342"/>
      <c r="G65" s="342"/>
      <c r="H65" s="342"/>
      <c r="I65" s="342"/>
      <c r="J65" s="342"/>
      <c r="K65" s="342"/>
      <c r="L65" s="342"/>
      <c r="M65" s="342"/>
      <c r="N65" s="342"/>
      <c r="O65" s="342"/>
      <c r="Q65" s="342"/>
      <c r="R65" s="342"/>
      <c r="S65" s="342"/>
      <c r="T65" s="342"/>
      <c r="V65" s="342"/>
      <c r="W65" s="342"/>
      <c r="X65" s="342"/>
    </row>
    <row r="66" spans="1:24" ht="35.25" customHeight="1">
      <c r="A66" s="94"/>
      <c r="B66" s="141"/>
      <c r="C66" s="141"/>
      <c r="D66" s="141"/>
      <c r="E66" s="342"/>
      <c r="F66" s="342"/>
      <c r="G66" s="342"/>
      <c r="H66" s="342"/>
      <c r="I66" s="342"/>
      <c r="J66" s="342"/>
      <c r="K66" s="342"/>
      <c r="L66" s="342"/>
      <c r="M66" s="342"/>
      <c r="N66" s="342"/>
      <c r="O66" s="342"/>
      <c r="P66" s="342"/>
      <c r="Q66" s="342"/>
      <c r="R66" s="342"/>
      <c r="S66" s="342"/>
      <c r="T66" s="342"/>
      <c r="V66" s="342"/>
      <c r="W66" s="342"/>
      <c r="X66" s="342"/>
    </row>
    <row r="67" spans="5:24" ht="12.75">
      <c r="E67" s="342"/>
      <c r="F67" s="342"/>
      <c r="G67" s="342"/>
      <c r="H67" s="342"/>
      <c r="I67" s="342"/>
      <c r="J67" s="342"/>
      <c r="K67" s="342"/>
      <c r="L67" s="342"/>
      <c r="M67" s="342"/>
      <c r="N67" s="342"/>
      <c r="O67" s="342"/>
      <c r="P67" s="342"/>
      <c r="Q67" s="342"/>
      <c r="R67" s="342"/>
      <c r="S67" s="342"/>
      <c r="T67" s="342"/>
      <c r="V67" s="342"/>
      <c r="W67" s="342"/>
      <c r="X67" s="342"/>
    </row>
    <row r="68" spans="5:24" ht="12.75">
      <c r="E68" s="342"/>
      <c r="F68" s="342"/>
      <c r="G68" s="342"/>
      <c r="H68" s="342"/>
      <c r="I68" s="342"/>
      <c r="J68" s="342"/>
      <c r="K68" s="342"/>
      <c r="L68" s="342"/>
      <c r="M68" s="342"/>
      <c r="N68" s="342"/>
      <c r="O68" s="342"/>
      <c r="P68" s="342"/>
      <c r="Q68" s="342"/>
      <c r="R68" s="342"/>
      <c r="S68" s="342"/>
      <c r="T68" s="342"/>
      <c r="V68" s="342"/>
      <c r="W68" s="342"/>
      <c r="X68" s="342"/>
    </row>
    <row r="69" spans="5:24" ht="12.75">
      <c r="E69" s="342"/>
      <c r="F69" s="342"/>
      <c r="G69" s="342"/>
      <c r="H69" s="342"/>
      <c r="I69" s="342"/>
      <c r="J69" s="342"/>
      <c r="K69" s="342"/>
      <c r="L69" s="342"/>
      <c r="M69" s="342"/>
      <c r="N69" s="342"/>
      <c r="O69" s="342"/>
      <c r="P69" s="342"/>
      <c r="Q69" s="342"/>
      <c r="R69" s="342"/>
      <c r="S69" s="342"/>
      <c r="T69" s="342"/>
      <c r="V69" s="342"/>
      <c r="W69" s="342"/>
      <c r="X69" s="342"/>
    </row>
    <row r="70" spans="4:24" ht="12.75">
      <c r="D70" s="102"/>
      <c r="E70" s="342"/>
      <c r="F70" s="342"/>
      <c r="G70" s="342"/>
      <c r="H70" s="342"/>
      <c r="I70" s="342"/>
      <c r="J70" s="342"/>
      <c r="K70" s="342"/>
      <c r="L70" s="342"/>
      <c r="M70" s="342"/>
      <c r="N70" s="342"/>
      <c r="O70" s="342"/>
      <c r="P70" s="342"/>
      <c r="Q70" s="342"/>
      <c r="R70" s="342"/>
      <c r="S70" s="342"/>
      <c r="T70" s="342"/>
      <c r="V70" s="342"/>
      <c r="W70" s="342"/>
      <c r="X70" s="342"/>
    </row>
    <row r="71" spans="4:24" ht="48.75" customHeight="1">
      <c r="D71" s="102"/>
      <c r="E71" s="342"/>
      <c r="F71" s="342"/>
      <c r="G71" s="342"/>
      <c r="H71" s="342"/>
      <c r="I71" s="342"/>
      <c r="J71" s="342"/>
      <c r="K71" s="342"/>
      <c r="L71" s="342"/>
      <c r="M71" s="342"/>
      <c r="N71" s="342"/>
      <c r="O71" s="342"/>
      <c r="P71" s="342"/>
      <c r="Q71" s="342"/>
      <c r="R71" s="342"/>
      <c r="S71" s="342"/>
      <c r="T71" s="342"/>
      <c r="V71" s="342"/>
      <c r="W71" s="342"/>
      <c r="X71" s="342"/>
    </row>
    <row r="72" spans="4:24" ht="46.5" customHeight="1">
      <c r="D72" s="102"/>
      <c r="E72" s="342"/>
      <c r="F72" s="342"/>
      <c r="G72" s="342"/>
      <c r="H72" s="342"/>
      <c r="I72" s="342"/>
      <c r="J72" s="342"/>
      <c r="K72" s="342"/>
      <c r="L72" s="342"/>
      <c r="M72" s="342"/>
      <c r="N72" s="342"/>
      <c r="O72" s="342"/>
      <c r="P72" s="342"/>
      <c r="Q72" s="342"/>
      <c r="R72" s="342"/>
      <c r="S72" s="342"/>
      <c r="T72" s="342"/>
      <c r="V72" s="342"/>
      <c r="W72" s="342"/>
      <c r="X72" s="342"/>
    </row>
    <row r="73" spans="5:24" ht="41.25" customHeight="1">
      <c r="E73" s="342"/>
      <c r="F73" s="342"/>
      <c r="G73" s="342"/>
      <c r="H73" s="342"/>
      <c r="I73" s="342"/>
      <c r="J73" s="342"/>
      <c r="K73" s="342"/>
      <c r="L73" s="342"/>
      <c r="M73" s="342"/>
      <c r="N73" s="342"/>
      <c r="O73" s="342"/>
      <c r="P73" s="342"/>
      <c r="Q73" s="342"/>
      <c r="R73" s="342"/>
      <c r="S73" s="342"/>
      <c r="T73" s="342"/>
      <c r="V73" s="342"/>
      <c r="W73" s="342"/>
      <c r="X73" s="342"/>
    </row>
    <row r="74" spans="5:24" ht="12.75">
      <c r="E74" s="342"/>
      <c r="F74" s="342"/>
      <c r="G74" s="342"/>
      <c r="H74" s="342"/>
      <c r="I74" s="342"/>
      <c r="J74" s="342"/>
      <c r="K74" s="342"/>
      <c r="L74" s="342"/>
      <c r="M74" s="342"/>
      <c r="N74" s="342"/>
      <c r="O74" s="342"/>
      <c r="P74" s="342"/>
      <c r="Q74" s="342"/>
      <c r="R74" s="342"/>
      <c r="S74" s="342"/>
      <c r="T74" s="342"/>
      <c r="V74" s="342"/>
      <c r="W74" s="342"/>
      <c r="X74" s="342"/>
    </row>
    <row r="75" spans="5:24" ht="12.75">
      <c r="E75" s="342"/>
      <c r="F75" s="342"/>
      <c r="G75" s="342"/>
      <c r="H75" s="342"/>
      <c r="I75" s="342"/>
      <c r="J75" s="342"/>
      <c r="K75" s="342"/>
      <c r="L75" s="342"/>
      <c r="M75" s="342"/>
      <c r="N75" s="342"/>
      <c r="O75" s="342"/>
      <c r="P75" s="342"/>
      <c r="Q75" s="342"/>
      <c r="R75" s="342"/>
      <c r="S75" s="342"/>
      <c r="T75" s="342"/>
      <c r="V75" s="342"/>
      <c r="W75" s="342"/>
      <c r="X75" s="342"/>
    </row>
    <row r="76" spans="5:24" ht="12.75">
      <c r="E76" s="342"/>
      <c r="F76" s="342"/>
      <c r="G76" s="342"/>
      <c r="H76" s="342"/>
      <c r="I76" s="342"/>
      <c r="J76" s="342"/>
      <c r="K76" s="342"/>
      <c r="L76" s="342"/>
      <c r="M76" s="342"/>
      <c r="N76" s="342"/>
      <c r="O76" s="342"/>
      <c r="P76" s="342"/>
      <c r="Q76" s="342"/>
      <c r="R76" s="342"/>
      <c r="S76" s="342"/>
      <c r="T76" s="342"/>
      <c r="V76" s="342"/>
      <c r="W76" s="342"/>
      <c r="X76" s="342"/>
    </row>
    <row r="77" spans="5:24" ht="12.75">
      <c r="E77" s="342"/>
      <c r="F77" s="342"/>
      <c r="G77" s="342"/>
      <c r="H77" s="342"/>
      <c r="I77" s="342"/>
      <c r="J77" s="342"/>
      <c r="K77" s="342"/>
      <c r="L77" s="342"/>
      <c r="M77" s="342"/>
      <c r="N77" s="342"/>
      <c r="O77" s="342"/>
      <c r="P77" s="342"/>
      <c r="Q77" s="342"/>
      <c r="R77" s="342"/>
      <c r="S77" s="342"/>
      <c r="T77" s="342"/>
      <c r="V77" s="342"/>
      <c r="W77" s="342"/>
      <c r="X77" s="342"/>
    </row>
    <row r="78" spans="5:24" ht="12.75">
      <c r="E78" s="342"/>
      <c r="F78" s="342"/>
      <c r="G78" s="342"/>
      <c r="H78" s="342"/>
      <c r="I78" s="342"/>
      <c r="J78" s="342"/>
      <c r="K78" s="342"/>
      <c r="L78" s="342"/>
      <c r="M78" s="342"/>
      <c r="N78" s="342"/>
      <c r="O78" s="342"/>
      <c r="P78" s="342"/>
      <c r="Q78" s="342"/>
      <c r="R78" s="342"/>
      <c r="S78" s="342"/>
      <c r="T78" s="342"/>
      <c r="V78" s="342"/>
      <c r="W78" s="342"/>
      <c r="X78" s="342"/>
    </row>
    <row r="79" spans="5:24" ht="12.75">
      <c r="E79" s="342"/>
      <c r="F79" s="342"/>
      <c r="G79" s="342"/>
      <c r="H79" s="342"/>
      <c r="I79" s="342"/>
      <c r="J79" s="342"/>
      <c r="K79" s="342"/>
      <c r="L79" s="342"/>
      <c r="M79" s="342"/>
      <c r="N79" s="342"/>
      <c r="O79" s="342"/>
      <c r="P79" s="342"/>
      <c r="Q79" s="342"/>
      <c r="R79" s="342"/>
      <c r="S79" s="342"/>
      <c r="T79" s="342"/>
      <c r="V79" s="342"/>
      <c r="W79" s="342"/>
      <c r="X79" s="342"/>
    </row>
    <row r="80" spans="5:24" ht="12.75">
      <c r="E80" s="342"/>
      <c r="F80" s="342"/>
      <c r="G80" s="342"/>
      <c r="H80" s="342"/>
      <c r="I80" s="342"/>
      <c r="J80" s="342"/>
      <c r="K80" s="342"/>
      <c r="L80" s="342"/>
      <c r="M80" s="342"/>
      <c r="N80" s="342"/>
      <c r="O80" s="342"/>
      <c r="P80" s="342"/>
      <c r="Q80" s="342"/>
      <c r="R80" s="342"/>
      <c r="S80" s="342"/>
      <c r="T80" s="342"/>
      <c r="V80" s="342"/>
      <c r="W80" s="342"/>
      <c r="X80" s="342"/>
    </row>
    <row r="81" spans="5:24" ht="12.75">
      <c r="E81" s="342"/>
      <c r="F81" s="342"/>
      <c r="G81" s="342"/>
      <c r="H81" s="342"/>
      <c r="I81" s="342"/>
      <c r="J81" s="342"/>
      <c r="K81" s="342"/>
      <c r="L81" s="342"/>
      <c r="M81" s="342"/>
      <c r="N81" s="342"/>
      <c r="O81" s="342"/>
      <c r="P81" s="342"/>
      <c r="Q81" s="342"/>
      <c r="R81" s="342"/>
      <c r="S81" s="342"/>
      <c r="T81" s="342"/>
      <c r="V81" s="342"/>
      <c r="W81" s="342"/>
      <c r="X81" s="342"/>
    </row>
    <row r="82" spans="5:24" ht="12.75">
      <c r="E82" s="342"/>
      <c r="F82" s="342"/>
      <c r="G82" s="342"/>
      <c r="H82" s="342"/>
      <c r="I82" s="342"/>
      <c r="J82" s="342"/>
      <c r="K82" s="342"/>
      <c r="L82" s="342"/>
      <c r="M82" s="342"/>
      <c r="N82" s="342"/>
      <c r="O82" s="342"/>
      <c r="P82" s="342"/>
      <c r="Q82" s="342"/>
      <c r="R82" s="342"/>
      <c r="S82" s="342"/>
      <c r="T82" s="342"/>
      <c r="V82" s="342"/>
      <c r="W82" s="342"/>
      <c r="X82" s="342"/>
    </row>
    <row r="83" spans="5:24" ht="12.75">
      <c r="E83" s="342"/>
      <c r="F83" s="342"/>
      <c r="G83" s="342"/>
      <c r="H83" s="342"/>
      <c r="I83" s="342"/>
      <c r="J83" s="342"/>
      <c r="K83" s="342"/>
      <c r="L83" s="342"/>
      <c r="M83" s="342"/>
      <c r="N83" s="342"/>
      <c r="O83" s="342"/>
      <c r="P83" s="342"/>
      <c r="Q83" s="342"/>
      <c r="R83" s="342"/>
      <c r="S83" s="342"/>
      <c r="T83" s="342"/>
      <c r="V83" s="342"/>
      <c r="W83" s="342"/>
      <c r="X83" s="342"/>
    </row>
    <row r="84" spans="5:24" ht="12.75"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V84" s="342"/>
      <c r="W84" s="342"/>
      <c r="X84" s="342"/>
    </row>
    <row r="85" spans="5:24" ht="12.75">
      <c r="E85" s="342"/>
      <c r="F85" s="342"/>
      <c r="G85" s="342"/>
      <c r="H85" s="342"/>
      <c r="I85" s="342"/>
      <c r="J85" s="342"/>
      <c r="K85" s="342"/>
      <c r="L85" s="342"/>
      <c r="M85" s="342"/>
      <c r="N85" s="342"/>
      <c r="O85" s="342"/>
      <c r="P85" s="342"/>
      <c r="Q85" s="342"/>
      <c r="R85" s="342"/>
      <c r="S85" s="342"/>
      <c r="T85" s="342"/>
      <c r="V85" s="342"/>
      <c r="W85" s="342"/>
      <c r="X85" s="342"/>
    </row>
    <row r="86" spans="5:24" ht="12.75"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V86" s="342"/>
      <c r="W86" s="342"/>
      <c r="X86" s="342"/>
    </row>
    <row r="87" spans="5:24" ht="12.75">
      <c r="E87" s="342"/>
      <c r="F87" s="342"/>
      <c r="G87" s="342"/>
      <c r="H87" s="342"/>
      <c r="I87" s="342"/>
      <c r="J87" s="342"/>
      <c r="K87" s="342"/>
      <c r="L87" s="342"/>
      <c r="M87" s="342"/>
      <c r="N87" s="342"/>
      <c r="O87" s="342"/>
      <c r="P87" s="342"/>
      <c r="Q87" s="342"/>
      <c r="R87" s="342"/>
      <c r="S87" s="342"/>
      <c r="T87" s="342"/>
      <c r="V87" s="342"/>
      <c r="W87" s="342"/>
      <c r="X87" s="342"/>
    </row>
    <row r="88" spans="5:24" ht="12.75">
      <c r="E88" s="342"/>
      <c r="F88" s="342"/>
      <c r="G88" s="342"/>
      <c r="H88" s="342"/>
      <c r="I88" s="342"/>
      <c r="J88" s="342"/>
      <c r="K88" s="342"/>
      <c r="L88" s="342"/>
      <c r="M88" s="342"/>
      <c r="N88" s="342"/>
      <c r="O88" s="342"/>
      <c r="P88" s="342"/>
      <c r="Q88" s="342"/>
      <c r="R88" s="342"/>
      <c r="S88" s="342"/>
      <c r="T88" s="342"/>
      <c r="V88" s="342"/>
      <c r="W88" s="342"/>
      <c r="X88" s="342"/>
    </row>
    <row r="89" spans="5:24" ht="12.75">
      <c r="E89" s="342"/>
      <c r="F89" s="342"/>
      <c r="G89" s="342"/>
      <c r="H89" s="342"/>
      <c r="I89" s="342"/>
      <c r="J89" s="342"/>
      <c r="K89" s="342"/>
      <c r="L89" s="342"/>
      <c r="M89" s="342"/>
      <c r="N89" s="342"/>
      <c r="O89" s="342"/>
      <c r="P89" s="342"/>
      <c r="Q89" s="342"/>
      <c r="R89" s="342"/>
      <c r="S89" s="342"/>
      <c r="T89" s="342"/>
      <c r="V89" s="342"/>
      <c r="W89" s="342"/>
      <c r="X89" s="342"/>
    </row>
    <row r="90" spans="5:24" ht="12.75">
      <c r="E90" s="342"/>
      <c r="F90" s="342"/>
      <c r="G90" s="342"/>
      <c r="H90" s="342"/>
      <c r="I90" s="342"/>
      <c r="J90" s="342"/>
      <c r="K90" s="342"/>
      <c r="L90" s="342"/>
      <c r="M90" s="342"/>
      <c r="N90" s="342"/>
      <c r="O90" s="342"/>
      <c r="P90" s="342"/>
      <c r="Q90" s="342"/>
      <c r="R90" s="342"/>
      <c r="S90" s="342"/>
      <c r="T90" s="342"/>
      <c r="V90" s="342"/>
      <c r="W90" s="342"/>
      <c r="X90" s="342"/>
    </row>
    <row r="91" spans="5:24" ht="12.75">
      <c r="E91" s="342"/>
      <c r="F91" s="342"/>
      <c r="G91" s="342"/>
      <c r="H91" s="342"/>
      <c r="I91" s="342"/>
      <c r="J91" s="342"/>
      <c r="K91" s="342"/>
      <c r="L91" s="342"/>
      <c r="M91" s="342"/>
      <c r="N91" s="342"/>
      <c r="O91" s="342"/>
      <c r="P91" s="342"/>
      <c r="Q91" s="342"/>
      <c r="R91" s="342"/>
      <c r="S91" s="342"/>
      <c r="T91" s="342"/>
      <c r="V91" s="342"/>
      <c r="W91" s="342"/>
      <c r="X91" s="342"/>
    </row>
    <row r="92" spans="5:24" ht="12.75">
      <c r="E92" s="342"/>
      <c r="F92" s="342"/>
      <c r="G92" s="342"/>
      <c r="H92" s="342"/>
      <c r="I92" s="342"/>
      <c r="J92" s="342"/>
      <c r="K92" s="342"/>
      <c r="L92" s="342"/>
      <c r="M92" s="342"/>
      <c r="N92" s="342"/>
      <c r="O92" s="342"/>
      <c r="P92" s="342"/>
      <c r="Q92" s="342"/>
      <c r="R92" s="342"/>
      <c r="S92" s="342"/>
      <c r="T92" s="342"/>
      <c r="V92" s="342"/>
      <c r="W92" s="342"/>
      <c r="X92" s="342"/>
    </row>
    <row r="93" spans="5:24" ht="12.75">
      <c r="E93" s="342"/>
      <c r="F93" s="342"/>
      <c r="G93" s="342"/>
      <c r="H93" s="342"/>
      <c r="I93" s="342"/>
      <c r="J93" s="342"/>
      <c r="K93" s="342"/>
      <c r="L93" s="342"/>
      <c r="M93" s="342"/>
      <c r="N93" s="342"/>
      <c r="O93" s="342"/>
      <c r="P93" s="342"/>
      <c r="Q93" s="342"/>
      <c r="R93" s="342"/>
      <c r="S93" s="342"/>
      <c r="T93" s="342"/>
      <c r="V93" s="342"/>
      <c r="W93" s="342"/>
      <c r="X93" s="342"/>
    </row>
    <row r="94" spans="5:24" ht="12.75">
      <c r="E94" s="342"/>
      <c r="F94" s="342"/>
      <c r="G94" s="342"/>
      <c r="H94" s="342"/>
      <c r="I94" s="342"/>
      <c r="J94" s="342"/>
      <c r="K94" s="342"/>
      <c r="L94" s="342"/>
      <c r="M94" s="342"/>
      <c r="N94" s="342"/>
      <c r="O94" s="342"/>
      <c r="P94" s="342"/>
      <c r="Q94" s="342"/>
      <c r="R94" s="342"/>
      <c r="S94" s="342"/>
      <c r="T94" s="342"/>
      <c r="V94" s="342"/>
      <c r="W94" s="342"/>
      <c r="X94" s="342"/>
    </row>
    <row r="95" spans="5:24" ht="12.75">
      <c r="E95" s="342"/>
      <c r="F95" s="342"/>
      <c r="G95" s="342"/>
      <c r="H95" s="342"/>
      <c r="I95" s="342"/>
      <c r="J95" s="342"/>
      <c r="K95" s="342"/>
      <c r="L95" s="342"/>
      <c r="M95" s="342"/>
      <c r="N95" s="342"/>
      <c r="O95" s="342"/>
      <c r="P95" s="342"/>
      <c r="Q95" s="342"/>
      <c r="R95" s="342"/>
      <c r="S95" s="342"/>
      <c r="T95" s="342"/>
      <c r="V95" s="342"/>
      <c r="W95" s="342"/>
      <c r="X95" s="342"/>
    </row>
    <row r="96" spans="5:24" ht="12.75">
      <c r="E96" s="342"/>
      <c r="F96" s="342"/>
      <c r="G96" s="342"/>
      <c r="H96" s="342"/>
      <c r="I96" s="342"/>
      <c r="J96" s="342"/>
      <c r="K96" s="342"/>
      <c r="L96" s="342"/>
      <c r="M96" s="342"/>
      <c r="N96" s="342"/>
      <c r="O96" s="342"/>
      <c r="P96" s="342"/>
      <c r="Q96" s="342"/>
      <c r="R96" s="342"/>
      <c r="S96" s="342"/>
      <c r="T96" s="342"/>
      <c r="V96" s="342"/>
      <c r="W96" s="342"/>
      <c r="X96" s="342"/>
    </row>
    <row r="97" spans="5:24" ht="12.75">
      <c r="E97" s="342"/>
      <c r="F97" s="342"/>
      <c r="G97" s="342"/>
      <c r="H97" s="342"/>
      <c r="I97" s="342"/>
      <c r="J97" s="342"/>
      <c r="K97" s="342"/>
      <c r="L97" s="342"/>
      <c r="M97" s="342"/>
      <c r="N97" s="342"/>
      <c r="O97" s="342"/>
      <c r="P97" s="342"/>
      <c r="Q97" s="342"/>
      <c r="R97" s="342"/>
      <c r="S97" s="342"/>
      <c r="T97" s="342"/>
      <c r="V97" s="342"/>
      <c r="W97" s="342"/>
      <c r="X97" s="342"/>
    </row>
    <row r="98" spans="5:24" ht="12.75">
      <c r="E98" s="342"/>
      <c r="F98" s="342"/>
      <c r="G98" s="342"/>
      <c r="H98" s="342"/>
      <c r="I98" s="342"/>
      <c r="J98" s="342"/>
      <c r="K98" s="342"/>
      <c r="L98" s="342"/>
      <c r="M98" s="342"/>
      <c r="N98" s="342"/>
      <c r="O98" s="342"/>
      <c r="P98" s="342"/>
      <c r="Q98" s="342"/>
      <c r="R98" s="342"/>
      <c r="S98" s="342"/>
      <c r="T98" s="342"/>
      <c r="V98" s="342"/>
      <c r="W98" s="342"/>
      <c r="X98" s="342"/>
    </row>
    <row r="99" spans="5:24" ht="12.75">
      <c r="E99" s="342"/>
      <c r="F99" s="342"/>
      <c r="G99" s="342"/>
      <c r="H99" s="342"/>
      <c r="I99" s="342"/>
      <c r="J99" s="342"/>
      <c r="K99" s="342"/>
      <c r="L99" s="342"/>
      <c r="M99" s="342"/>
      <c r="N99" s="342"/>
      <c r="O99" s="342"/>
      <c r="P99" s="342"/>
      <c r="Q99" s="342"/>
      <c r="R99" s="342"/>
      <c r="S99" s="342"/>
      <c r="T99" s="342"/>
      <c r="V99" s="342"/>
      <c r="W99" s="342"/>
      <c r="X99" s="342"/>
    </row>
    <row r="100" spans="5:24" ht="12.75">
      <c r="E100" s="342"/>
      <c r="F100" s="342"/>
      <c r="G100" s="342"/>
      <c r="H100" s="342"/>
      <c r="I100" s="342"/>
      <c r="J100" s="342"/>
      <c r="K100" s="342"/>
      <c r="L100" s="342"/>
      <c r="M100" s="342"/>
      <c r="N100" s="342"/>
      <c r="O100" s="342"/>
      <c r="P100" s="342"/>
      <c r="Q100" s="342"/>
      <c r="R100" s="342"/>
      <c r="S100" s="342"/>
      <c r="T100" s="342"/>
      <c r="V100" s="342"/>
      <c r="W100" s="342"/>
      <c r="X100" s="342"/>
    </row>
    <row r="101" spans="5:24" ht="12.75">
      <c r="E101" s="342"/>
      <c r="F101" s="342"/>
      <c r="G101" s="342"/>
      <c r="H101" s="342"/>
      <c r="I101" s="342"/>
      <c r="J101" s="342"/>
      <c r="K101" s="342"/>
      <c r="L101" s="342"/>
      <c r="M101" s="342"/>
      <c r="N101" s="342"/>
      <c r="O101" s="342"/>
      <c r="P101" s="342"/>
      <c r="Q101" s="342"/>
      <c r="R101" s="342"/>
      <c r="S101" s="342"/>
      <c r="T101" s="342"/>
      <c r="V101" s="342"/>
      <c r="W101" s="342"/>
      <c r="X101" s="342"/>
    </row>
    <row r="102" spans="5:24" ht="12.75">
      <c r="E102" s="342"/>
      <c r="F102" s="342"/>
      <c r="G102" s="342"/>
      <c r="H102" s="342"/>
      <c r="I102" s="342"/>
      <c r="J102" s="342"/>
      <c r="K102" s="342"/>
      <c r="L102" s="342"/>
      <c r="M102" s="342"/>
      <c r="N102" s="342"/>
      <c r="O102" s="342"/>
      <c r="P102" s="342"/>
      <c r="Q102" s="342"/>
      <c r="R102" s="342"/>
      <c r="S102" s="342"/>
      <c r="T102" s="342"/>
      <c r="V102" s="342"/>
      <c r="W102" s="342"/>
      <c r="X102" s="342"/>
    </row>
    <row r="103" spans="5:24" ht="12.75">
      <c r="E103" s="342"/>
      <c r="F103" s="342"/>
      <c r="G103" s="342"/>
      <c r="H103" s="342"/>
      <c r="I103" s="342"/>
      <c r="J103" s="342"/>
      <c r="K103" s="342"/>
      <c r="L103" s="342"/>
      <c r="M103" s="342"/>
      <c r="N103" s="342"/>
      <c r="O103" s="342"/>
      <c r="P103" s="342"/>
      <c r="Q103" s="342"/>
      <c r="R103" s="342"/>
      <c r="S103" s="342"/>
      <c r="T103" s="342"/>
      <c r="V103" s="342"/>
      <c r="W103" s="342"/>
      <c r="X103" s="342"/>
    </row>
    <row r="104" spans="5:24" ht="12.75">
      <c r="E104" s="342"/>
      <c r="F104" s="342"/>
      <c r="G104" s="342"/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  <c r="R104" s="342"/>
      <c r="S104" s="342"/>
      <c r="T104" s="342"/>
      <c r="V104" s="342"/>
      <c r="W104" s="342"/>
      <c r="X104" s="342"/>
    </row>
    <row r="105" spans="5:24" ht="12.75"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V105" s="342"/>
      <c r="W105" s="342"/>
      <c r="X105" s="342"/>
    </row>
    <row r="106" spans="5:24" ht="12.75">
      <c r="E106" s="342"/>
      <c r="F106" s="342"/>
      <c r="G106" s="342"/>
      <c r="H106" s="342"/>
      <c r="I106" s="342"/>
      <c r="J106" s="342"/>
      <c r="K106" s="342"/>
      <c r="L106" s="342"/>
      <c r="M106" s="342"/>
      <c r="N106" s="342"/>
      <c r="O106" s="342"/>
      <c r="P106" s="342"/>
      <c r="Q106" s="342"/>
      <c r="R106" s="342"/>
      <c r="S106" s="342"/>
      <c r="T106" s="342"/>
      <c r="V106" s="342"/>
      <c r="W106" s="342"/>
      <c r="X106" s="342"/>
    </row>
    <row r="107" spans="5:24" ht="12.75">
      <c r="E107" s="342"/>
      <c r="F107" s="342"/>
      <c r="G107" s="342"/>
      <c r="H107" s="342"/>
      <c r="I107" s="342"/>
      <c r="J107" s="342"/>
      <c r="K107" s="342"/>
      <c r="L107" s="342"/>
      <c r="M107" s="342"/>
      <c r="N107" s="342"/>
      <c r="O107" s="342"/>
      <c r="P107" s="342"/>
      <c r="Q107" s="342"/>
      <c r="R107" s="342"/>
      <c r="S107" s="342"/>
      <c r="T107" s="342"/>
      <c r="V107" s="342"/>
      <c r="W107" s="342"/>
      <c r="X107" s="342"/>
    </row>
    <row r="108" spans="5:24" ht="12.75">
      <c r="E108" s="342"/>
      <c r="F108" s="342"/>
      <c r="G108" s="342"/>
      <c r="H108" s="342"/>
      <c r="I108" s="342"/>
      <c r="J108" s="342"/>
      <c r="K108" s="342"/>
      <c r="L108" s="342"/>
      <c r="M108" s="342"/>
      <c r="N108" s="342"/>
      <c r="O108" s="342"/>
      <c r="P108" s="342"/>
      <c r="Q108" s="342"/>
      <c r="R108" s="342"/>
      <c r="S108" s="342"/>
      <c r="T108" s="342"/>
      <c r="V108" s="342"/>
      <c r="W108" s="342"/>
      <c r="X108" s="342"/>
    </row>
    <row r="109" spans="5:24" ht="12.75">
      <c r="E109" s="342"/>
      <c r="F109" s="342"/>
      <c r="G109" s="342"/>
      <c r="H109" s="342"/>
      <c r="I109" s="342"/>
      <c r="J109" s="342"/>
      <c r="K109" s="342"/>
      <c r="L109" s="342"/>
      <c r="M109" s="342"/>
      <c r="N109" s="342"/>
      <c r="O109" s="342"/>
      <c r="P109" s="342"/>
      <c r="Q109" s="342"/>
      <c r="R109" s="342"/>
      <c r="S109" s="342"/>
      <c r="T109" s="342"/>
      <c r="V109" s="342"/>
      <c r="W109" s="342"/>
      <c r="X109" s="342"/>
    </row>
    <row r="110" spans="5:24" ht="12.75">
      <c r="E110" s="342"/>
      <c r="F110" s="342"/>
      <c r="G110" s="342"/>
      <c r="H110" s="342"/>
      <c r="I110" s="342"/>
      <c r="J110" s="342"/>
      <c r="K110" s="342"/>
      <c r="L110" s="342"/>
      <c r="M110" s="342"/>
      <c r="N110" s="342"/>
      <c r="O110" s="342"/>
      <c r="P110" s="342"/>
      <c r="Q110" s="342"/>
      <c r="R110" s="342"/>
      <c r="S110" s="342"/>
      <c r="T110" s="342"/>
      <c r="V110" s="342"/>
      <c r="W110" s="342"/>
      <c r="X110" s="342"/>
    </row>
    <row r="111" spans="5:24" ht="12.75">
      <c r="E111" s="342"/>
      <c r="F111" s="342"/>
      <c r="G111" s="342"/>
      <c r="H111" s="342"/>
      <c r="I111" s="342"/>
      <c r="J111" s="342"/>
      <c r="K111" s="342"/>
      <c r="L111" s="342"/>
      <c r="M111" s="342"/>
      <c r="N111" s="342"/>
      <c r="O111" s="342"/>
      <c r="P111" s="342"/>
      <c r="Q111" s="342"/>
      <c r="R111" s="342"/>
      <c r="S111" s="342"/>
      <c r="T111" s="342"/>
      <c r="V111" s="342"/>
      <c r="W111" s="342"/>
      <c r="X111" s="342"/>
    </row>
  </sheetData>
  <sheetProtection/>
  <mergeCells count="45">
    <mergeCell ref="A62:D62"/>
    <mergeCell ref="C58:D58"/>
    <mergeCell ref="C50:D50"/>
    <mergeCell ref="C51:D51"/>
    <mergeCell ref="B60:D60"/>
    <mergeCell ref="C59:D59"/>
    <mergeCell ref="B55:D55"/>
    <mergeCell ref="B56:D56"/>
    <mergeCell ref="C57:D57"/>
    <mergeCell ref="B52:D52"/>
    <mergeCell ref="C37:D37"/>
    <mergeCell ref="B41:D41"/>
    <mergeCell ref="C42:D42"/>
    <mergeCell ref="A61:D61"/>
    <mergeCell ref="C47:D47"/>
    <mergeCell ref="C48:D48"/>
    <mergeCell ref="B49:D49"/>
    <mergeCell ref="C53:D53"/>
    <mergeCell ref="C54:D54"/>
    <mergeCell ref="C43:D43"/>
    <mergeCell ref="C8:D8"/>
    <mergeCell ref="C28:D28"/>
    <mergeCell ref="C31:D31"/>
    <mergeCell ref="C13:D13"/>
    <mergeCell ref="C16:D16"/>
    <mergeCell ref="B21:D21"/>
    <mergeCell ref="C22:D22"/>
    <mergeCell ref="C23:D23"/>
    <mergeCell ref="C24:D24"/>
    <mergeCell ref="C17:D17"/>
    <mergeCell ref="A2:U2"/>
    <mergeCell ref="A4:C4"/>
    <mergeCell ref="B6:D6"/>
    <mergeCell ref="B7:D7"/>
    <mergeCell ref="E4:L4"/>
    <mergeCell ref="M4:T4"/>
    <mergeCell ref="U4:AB4"/>
    <mergeCell ref="C20:D20"/>
    <mergeCell ref="C29:D29"/>
    <mergeCell ref="C30:D30"/>
    <mergeCell ref="C36:D36"/>
    <mergeCell ref="B32:D32"/>
    <mergeCell ref="C33:D33"/>
    <mergeCell ref="C34:D34"/>
    <mergeCell ref="C35:D3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0"/>
  <sheetViews>
    <sheetView zoomScale="85" zoomScaleNormal="85" zoomScalePageLayoutView="0" workbookViewId="0" topLeftCell="D1">
      <selection activeCell="R21" sqref="R21"/>
    </sheetView>
  </sheetViews>
  <sheetFormatPr defaultColWidth="9.140625" defaultRowHeight="12.75"/>
  <cols>
    <col min="1" max="1" width="5.8515625" style="123" customWidth="1"/>
    <col min="2" max="2" width="8.140625" style="130" customWidth="1"/>
    <col min="3" max="3" width="6.8515625" style="130" customWidth="1"/>
    <col min="4" max="4" width="50.140625" style="131" bestFit="1" customWidth="1"/>
    <col min="5" max="5" width="21.57421875" style="1" customWidth="1"/>
    <col min="6" max="7" width="13.140625" style="1" hidden="1" customWidth="1"/>
    <col min="8" max="8" width="12.140625" style="1" hidden="1" customWidth="1"/>
    <col min="9" max="9" width="11.8515625" style="1" hidden="1" customWidth="1"/>
    <col min="10" max="10" width="11.8515625" style="1" customWidth="1"/>
    <col min="11" max="11" width="13.140625" style="1" customWidth="1"/>
    <col min="12" max="12" width="11.8515625" style="1" customWidth="1"/>
    <col min="13" max="13" width="14.421875" style="81" customWidth="1"/>
    <col min="14" max="15" width="13.140625" style="81" hidden="1" customWidth="1"/>
    <col min="16" max="17" width="11.8515625" style="81" hidden="1" customWidth="1"/>
    <col min="18" max="18" width="11.8515625" style="81" customWidth="1"/>
    <col min="19" max="19" width="13.8515625" style="81" customWidth="1"/>
    <col min="20" max="20" width="10.8515625" style="81" customWidth="1"/>
    <col min="21" max="21" width="14.140625" style="81" customWidth="1"/>
    <col min="22" max="22" width="11.421875" style="81" hidden="1" customWidth="1"/>
    <col min="23" max="23" width="11.421875" style="1" hidden="1" customWidth="1"/>
    <col min="24" max="24" width="12.421875" style="1" hidden="1" customWidth="1"/>
    <col min="25" max="25" width="9.28125" style="1" hidden="1" customWidth="1"/>
    <col min="26" max="26" width="9.28125" style="1" customWidth="1"/>
    <col min="27" max="27" width="12.421875" style="1" customWidth="1"/>
    <col min="28" max="28" width="10.28125" style="1" customWidth="1"/>
    <col min="29" max="29" width="9.140625" style="1" hidden="1" customWidth="1"/>
    <col min="30" max="16384" width="9.140625" style="1" customWidth="1"/>
  </cols>
  <sheetData>
    <row r="1" spans="5:21" ht="15.75">
      <c r="E1" s="1179" t="s">
        <v>60</v>
      </c>
      <c r="F1" s="1179"/>
      <c r="G1" s="1179"/>
      <c r="H1" s="1179"/>
      <c r="I1" s="1179"/>
      <c r="J1" s="1179"/>
      <c r="K1" s="1179"/>
      <c r="L1" s="1179"/>
      <c r="M1" s="1179"/>
      <c r="N1" s="1179"/>
      <c r="O1" s="1179"/>
      <c r="P1" s="1179"/>
      <c r="Q1" s="1179"/>
      <c r="R1" s="1179"/>
      <c r="S1" s="1179"/>
      <c r="T1" s="1179"/>
      <c r="U1" s="1179"/>
    </row>
    <row r="2" spans="1:22" ht="37.5" customHeight="1">
      <c r="A2" s="1178" t="s">
        <v>506</v>
      </c>
      <c r="B2" s="1178"/>
      <c r="C2" s="1178"/>
      <c r="D2" s="1178"/>
      <c r="E2" s="1178"/>
      <c r="F2" s="1178"/>
      <c r="G2" s="1178"/>
      <c r="H2" s="1178"/>
      <c r="I2" s="1178"/>
      <c r="J2" s="1178"/>
      <c r="K2" s="1178"/>
      <c r="L2" s="1178"/>
      <c r="M2" s="1178"/>
      <c r="N2" s="1178"/>
      <c r="O2" s="1178"/>
      <c r="P2" s="1178"/>
      <c r="Q2" s="1178"/>
      <c r="R2" s="1178"/>
      <c r="S2" s="1178"/>
      <c r="T2" s="1178"/>
      <c r="U2" s="1178"/>
      <c r="V2" s="257"/>
    </row>
    <row r="3" spans="1:21" ht="14.25" customHeight="1" thickBot="1">
      <c r="A3" s="94"/>
      <c r="B3" s="122"/>
      <c r="C3" s="122"/>
      <c r="D3" s="132"/>
      <c r="U3" s="138" t="s">
        <v>2</v>
      </c>
    </row>
    <row r="4" spans="1:28" s="2" customFormat="1" ht="48.75" customHeight="1" thickBot="1">
      <c r="A4" s="1143" t="s">
        <v>4</v>
      </c>
      <c r="B4" s="1112"/>
      <c r="C4" s="1112"/>
      <c r="D4" s="1112"/>
      <c r="E4" s="319" t="s">
        <v>5</v>
      </c>
      <c r="F4" s="319"/>
      <c r="G4" s="319"/>
      <c r="H4" s="319"/>
      <c r="I4" s="319"/>
      <c r="J4" s="319"/>
      <c r="K4" s="319"/>
      <c r="L4" s="319"/>
      <c r="M4" s="319" t="s">
        <v>67</v>
      </c>
      <c r="N4" s="319"/>
      <c r="O4" s="319"/>
      <c r="P4" s="319"/>
      <c r="Q4" s="319"/>
      <c r="R4" s="319"/>
      <c r="S4" s="319"/>
      <c r="T4" s="319"/>
      <c r="U4" s="1143" t="s">
        <v>68</v>
      </c>
      <c r="V4" s="1112"/>
      <c r="W4" s="1112"/>
      <c r="X4" s="1112"/>
      <c r="Y4" s="1112"/>
      <c r="Z4" s="1112"/>
      <c r="AA4" s="1112"/>
      <c r="AB4" s="1181"/>
    </row>
    <row r="5" spans="1:28" s="2" customFormat="1" ht="32.25" thickBot="1">
      <c r="A5" s="315"/>
      <c r="B5" s="313"/>
      <c r="C5" s="313"/>
      <c r="D5" s="313"/>
      <c r="E5" s="419" t="s">
        <v>71</v>
      </c>
      <c r="F5" s="420" t="s">
        <v>245</v>
      </c>
      <c r="G5" s="420" t="s">
        <v>248</v>
      </c>
      <c r="H5" s="420" t="s">
        <v>251</v>
      </c>
      <c r="I5" s="420" t="s">
        <v>267</v>
      </c>
      <c r="J5" s="420" t="s">
        <v>271</v>
      </c>
      <c r="K5" s="420" t="s">
        <v>254</v>
      </c>
      <c r="L5" s="1091" t="s">
        <v>255</v>
      </c>
      <c r="M5" s="419" t="s">
        <v>71</v>
      </c>
      <c r="N5" s="420" t="s">
        <v>245</v>
      </c>
      <c r="O5" s="420" t="s">
        <v>248</v>
      </c>
      <c r="P5" s="420" t="s">
        <v>251</v>
      </c>
      <c r="Q5" s="420" t="s">
        <v>267</v>
      </c>
      <c r="R5" s="420" t="s">
        <v>271</v>
      </c>
      <c r="S5" s="420" t="s">
        <v>254</v>
      </c>
      <c r="T5" s="1091" t="s">
        <v>255</v>
      </c>
      <c r="U5" s="419" t="s">
        <v>71</v>
      </c>
      <c r="V5" s="420" t="s">
        <v>245</v>
      </c>
      <c r="W5" s="420" t="s">
        <v>248</v>
      </c>
      <c r="X5" s="420" t="s">
        <v>251</v>
      </c>
      <c r="Y5" s="420" t="s">
        <v>267</v>
      </c>
      <c r="Z5" s="420" t="s">
        <v>271</v>
      </c>
      <c r="AA5" s="420" t="s">
        <v>254</v>
      </c>
      <c r="AB5" s="1091" t="s">
        <v>255</v>
      </c>
    </row>
    <row r="6" spans="1:29" s="80" customFormat="1" ht="22.5" customHeight="1" thickBot="1">
      <c r="A6" s="115" t="s">
        <v>30</v>
      </c>
      <c r="B6" s="1135" t="s">
        <v>84</v>
      </c>
      <c r="C6" s="1135"/>
      <c r="D6" s="1135"/>
      <c r="E6" s="373">
        <f aca="true" t="shared" si="0" ref="E6:K6">SUM(E7:E11)</f>
        <v>251387</v>
      </c>
      <c r="F6" s="302">
        <f t="shared" si="0"/>
        <v>256392</v>
      </c>
      <c r="G6" s="302">
        <f t="shared" si="0"/>
        <v>272388</v>
      </c>
      <c r="H6" s="302">
        <f t="shared" si="0"/>
        <v>273097</v>
      </c>
      <c r="I6" s="302">
        <f t="shared" si="0"/>
        <v>279884</v>
      </c>
      <c r="J6" s="302">
        <f t="shared" si="0"/>
        <v>388420</v>
      </c>
      <c r="K6" s="302">
        <f t="shared" si="0"/>
        <v>249746</v>
      </c>
      <c r="L6" s="831">
        <f>K6/J6</f>
        <v>0.6429792492662582</v>
      </c>
      <c r="M6" s="373">
        <f aca="true" t="shared" si="1" ref="M6:R6">SUM(M7:M11)</f>
        <v>232352</v>
      </c>
      <c r="N6" s="302">
        <f t="shared" si="1"/>
        <v>237357</v>
      </c>
      <c r="O6" s="302">
        <f t="shared" si="1"/>
        <v>253283</v>
      </c>
      <c r="P6" s="302">
        <f t="shared" si="1"/>
        <v>253992</v>
      </c>
      <c r="Q6" s="302">
        <f t="shared" si="1"/>
        <v>260779</v>
      </c>
      <c r="R6" s="302">
        <f t="shared" si="1"/>
        <v>370049</v>
      </c>
      <c r="S6" s="302">
        <f>SUM(S7:S11)</f>
        <v>234943</v>
      </c>
      <c r="T6" s="831">
        <f>S6/R6</f>
        <v>0.6348970001270102</v>
      </c>
      <c r="U6" s="373">
        <f aca="true" t="shared" si="2" ref="U6:Z6">SUM(U7:U11)</f>
        <v>19035</v>
      </c>
      <c r="V6" s="302">
        <f t="shared" si="2"/>
        <v>19035</v>
      </c>
      <c r="W6" s="302">
        <f t="shared" si="2"/>
        <v>19105</v>
      </c>
      <c r="X6" s="302">
        <f t="shared" si="2"/>
        <v>19105</v>
      </c>
      <c r="Y6" s="302">
        <f t="shared" si="2"/>
        <v>19105</v>
      </c>
      <c r="Z6" s="302">
        <f t="shared" si="2"/>
        <v>18371</v>
      </c>
      <c r="AA6" s="302">
        <f>SUM(AA7:AA11)</f>
        <v>14803</v>
      </c>
      <c r="AB6" s="831">
        <f>AA6/Z6</f>
        <v>0.8057808502531163</v>
      </c>
      <c r="AC6" s="1086">
        <f>SUM(AC7:AC11)</f>
        <v>0</v>
      </c>
    </row>
    <row r="7" spans="1:29" s="5" customFormat="1" ht="22.5" customHeight="1">
      <c r="A7" s="114"/>
      <c r="B7" s="119" t="s">
        <v>39</v>
      </c>
      <c r="C7" s="119"/>
      <c r="D7" s="363" t="s">
        <v>0</v>
      </c>
      <c r="E7" s="374">
        <v>40716</v>
      </c>
      <c r="F7" s="304">
        <v>40716</v>
      </c>
      <c r="G7" s="304">
        <v>40716</v>
      </c>
      <c r="H7" s="304">
        <v>40716</v>
      </c>
      <c r="I7" s="304">
        <v>40716</v>
      </c>
      <c r="J7" s="304">
        <v>50716</v>
      </c>
      <c r="K7" s="304">
        <v>35851</v>
      </c>
      <c r="L7" s="836">
        <f>K7/J7</f>
        <v>0.706897231642874</v>
      </c>
      <c r="M7" s="374">
        <f aca="true" t="shared" si="3" ref="M7:S8">E7-U7</f>
        <v>40716</v>
      </c>
      <c r="N7" s="304">
        <f t="shared" si="3"/>
        <v>40716</v>
      </c>
      <c r="O7" s="304">
        <f t="shared" si="3"/>
        <v>40716</v>
      </c>
      <c r="P7" s="304">
        <f t="shared" si="3"/>
        <v>40716</v>
      </c>
      <c r="Q7" s="304">
        <f t="shared" si="3"/>
        <v>40716</v>
      </c>
      <c r="R7" s="304">
        <f t="shared" si="3"/>
        <v>50716</v>
      </c>
      <c r="S7" s="304">
        <f t="shared" si="3"/>
        <v>35851</v>
      </c>
      <c r="T7" s="836">
        <f>S7/R7</f>
        <v>0.706897231642874</v>
      </c>
      <c r="U7" s="374">
        <v>0</v>
      </c>
      <c r="V7" s="304">
        <v>0</v>
      </c>
      <c r="W7" s="304">
        <v>0</v>
      </c>
      <c r="X7" s="304">
        <v>0</v>
      </c>
      <c r="Y7" s="304">
        <v>0</v>
      </c>
      <c r="Z7" s="304">
        <v>0</v>
      </c>
      <c r="AA7" s="304">
        <v>0</v>
      </c>
      <c r="AB7" s="836"/>
      <c r="AC7" s="956"/>
    </row>
    <row r="8" spans="1:29" s="5" customFormat="1" ht="22.5" customHeight="1">
      <c r="A8" s="97"/>
      <c r="B8" s="106" t="s">
        <v>40</v>
      </c>
      <c r="C8" s="106"/>
      <c r="D8" s="364" t="s">
        <v>85</v>
      </c>
      <c r="E8" s="422">
        <v>10539</v>
      </c>
      <c r="F8" s="423">
        <v>10539</v>
      </c>
      <c r="G8" s="423">
        <v>10539</v>
      </c>
      <c r="H8" s="423">
        <v>10539</v>
      </c>
      <c r="I8" s="423">
        <v>10539</v>
      </c>
      <c r="J8" s="423">
        <v>10539</v>
      </c>
      <c r="K8" s="423">
        <v>8216</v>
      </c>
      <c r="L8" s="836">
        <f aca="true" t="shared" si="4" ref="L8:L14">K8/J8</f>
        <v>0.7795806053705285</v>
      </c>
      <c r="M8" s="422">
        <f t="shared" si="3"/>
        <v>10539</v>
      </c>
      <c r="N8" s="423">
        <f t="shared" si="3"/>
        <v>10539</v>
      </c>
      <c r="O8" s="423">
        <f t="shared" si="3"/>
        <v>10539</v>
      </c>
      <c r="P8" s="423">
        <f t="shared" si="3"/>
        <v>10539</v>
      </c>
      <c r="Q8" s="423">
        <f t="shared" si="3"/>
        <v>10539</v>
      </c>
      <c r="R8" s="423">
        <f t="shared" si="3"/>
        <v>10539</v>
      </c>
      <c r="S8" s="423">
        <f t="shared" si="3"/>
        <v>8216</v>
      </c>
      <c r="T8" s="836">
        <f aca="true" t="shared" si="5" ref="T8:T14">S8/R8</f>
        <v>0.7795806053705285</v>
      </c>
      <c r="U8" s="422">
        <v>0</v>
      </c>
      <c r="V8" s="423">
        <v>0</v>
      </c>
      <c r="W8" s="423">
        <v>0</v>
      </c>
      <c r="X8" s="423">
        <v>0</v>
      </c>
      <c r="Y8" s="423">
        <v>0</v>
      </c>
      <c r="Z8" s="423">
        <v>0</v>
      </c>
      <c r="AA8" s="423">
        <v>0</v>
      </c>
      <c r="AB8" s="836"/>
      <c r="AC8" s="1089"/>
    </row>
    <row r="9" spans="1:29" s="5" customFormat="1" ht="22.5" customHeight="1">
      <c r="A9" s="97"/>
      <c r="B9" s="106" t="s">
        <v>41</v>
      </c>
      <c r="C9" s="106"/>
      <c r="D9" s="364" t="s">
        <v>86</v>
      </c>
      <c r="E9" s="422">
        <v>71772</v>
      </c>
      <c r="F9" s="423">
        <v>71772</v>
      </c>
      <c r="G9" s="423">
        <f>71772+6639</f>
        <v>78411</v>
      </c>
      <c r="H9" s="423">
        <f>71772+6639+400</f>
        <v>78811</v>
      </c>
      <c r="I9" s="423">
        <f>71772+6639+400+2500</f>
        <v>81311</v>
      </c>
      <c r="J9" s="423">
        <v>172305</v>
      </c>
      <c r="K9" s="423">
        <v>55983</v>
      </c>
      <c r="L9" s="836">
        <f t="shared" si="4"/>
        <v>0.3249064159484635</v>
      </c>
      <c r="M9" s="422">
        <f>'7.sz.m.Dologi kiadás (3)'!L21</f>
        <v>70637</v>
      </c>
      <c r="N9" s="423">
        <f>'7.sz.m.Dologi kiadás (3)'!M21</f>
        <v>70637</v>
      </c>
      <c r="O9" s="423">
        <f>'7.sz.m.Dologi kiadás (3)'!N21</f>
        <v>77276</v>
      </c>
      <c r="P9" s="423">
        <f>'7.sz.m.Dologi kiadás (3)'!O21</f>
        <v>77676</v>
      </c>
      <c r="Q9" s="423">
        <f>'7.sz.m.Dologi kiadás (3)'!P21</f>
        <v>80176</v>
      </c>
      <c r="R9" s="423">
        <f>'7.sz.m.Dologi kiadás (3)'!Q21</f>
        <v>171170</v>
      </c>
      <c r="S9" s="423">
        <f>'7.sz.m.Dologi kiadás (3)'!R21</f>
        <v>54411</v>
      </c>
      <c r="T9" s="836">
        <f t="shared" si="5"/>
        <v>0.3178769644213355</v>
      </c>
      <c r="U9" s="422">
        <f>'7.sz.m.Dologi kiadás (3)'!T21</f>
        <v>1135</v>
      </c>
      <c r="V9" s="423">
        <f>'7.sz.m.Dologi kiadás (3)'!U21</f>
        <v>1135</v>
      </c>
      <c r="W9" s="423">
        <f>'7.sz.m.Dologi kiadás (3)'!V21</f>
        <v>1135</v>
      </c>
      <c r="X9" s="423">
        <f>'7.sz.m.Dologi kiadás (3)'!W21</f>
        <v>1135</v>
      </c>
      <c r="Y9" s="423">
        <f>'7.sz.m.Dologi kiadás (3)'!X21</f>
        <v>1135</v>
      </c>
      <c r="Z9" s="423">
        <f>'7.sz.m.Dologi kiadás (3)'!Y21</f>
        <v>1135</v>
      </c>
      <c r="AA9" s="423">
        <f>'7.sz.m.Dologi kiadás (3)'!Z21</f>
        <v>1572</v>
      </c>
      <c r="AB9" s="836">
        <f aca="true" t="shared" si="6" ref="AB9:AB14">AA9/Z9</f>
        <v>1.3850220264317181</v>
      </c>
      <c r="AC9" s="1089"/>
    </row>
    <row r="10" spans="1:29" s="5" customFormat="1" ht="22.5" customHeight="1">
      <c r="A10" s="97"/>
      <c r="B10" s="106" t="s">
        <v>52</v>
      </c>
      <c r="C10" s="106"/>
      <c r="D10" s="364" t="s">
        <v>87</v>
      </c>
      <c r="E10" s="369">
        <v>2265</v>
      </c>
      <c r="F10" s="301">
        <v>2265</v>
      </c>
      <c r="G10" s="301">
        <f>2265+490</f>
        <v>2755</v>
      </c>
      <c r="H10" s="301">
        <f>2265+490+280</f>
        <v>3035</v>
      </c>
      <c r="I10" s="301">
        <f>2265+490+280+325-37</f>
        <v>3323</v>
      </c>
      <c r="J10" s="301">
        <v>4602</v>
      </c>
      <c r="K10" s="301">
        <v>2441</v>
      </c>
      <c r="L10" s="836">
        <f t="shared" si="4"/>
        <v>0.5304215558452846</v>
      </c>
      <c r="M10" s="369">
        <v>0</v>
      </c>
      <c r="N10" s="301">
        <v>0</v>
      </c>
      <c r="O10" s="301">
        <v>0</v>
      </c>
      <c r="P10" s="301">
        <f>'8.sz.m.szociális kiadások (2)'!F16</f>
        <v>280</v>
      </c>
      <c r="Q10" s="301">
        <f>'8.sz.m.szociális kiadások (2)'!G16+'8.sz.m.szociális kiadások (2)'!G17</f>
        <v>568</v>
      </c>
      <c r="R10" s="301">
        <f>'8.sz.m.szociális kiadások (2)'!H16+'8.sz.m.szociális kiadások (2)'!H17+'8.sz.m.szociális kiadások (2)'!H18</f>
        <v>1847</v>
      </c>
      <c r="S10" s="301">
        <f>'8.sz.m.szociális kiadások (2)'!I16+'8.sz.m.szociális kiadások (2)'!I17+'8.sz.m.szociális kiadások (2)'!I18</f>
        <v>869</v>
      </c>
      <c r="T10" s="836">
        <f t="shared" si="5"/>
        <v>0.4704926908500271</v>
      </c>
      <c r="U10" s="369">
        <f>'8.sz.m.szociális kiadások (2)'!C19</f>
        <v>2265</v>
      </c>
      <c r="V10" s="301">
        <f>'8.sz.m.szociális kiadások (2)'!D19</f>
        <v>2265</v>
      </c>
      <c r="W10" s="301">
        <f>'8.sz.m.szociális kiadások (2)'!E19</f>
        <v>2755</v>
      </c>
      <c r="X10" s="301">
        <f>'8.sz.m.szociális kiadások (2)'!F19-'8.sz.m.szociális kiadások (2)'!F16</f>
        <v>2755</v>
      </c>
      <c r="Y10" s="301">
        <f>'8.sz.m.szociális kiadások (2)'!G19-'8.sz.m.szociális kiadások (2)'!G16-'8.sz.m.szociális kiadások (2)'!G17</f>
        <v>2755</v>
      </c>
      <c r="Z10" s="301">
        <f>'8.sz.m.szociális kiadások (2)'!H19-'8.sz.m.szociális kiadások (2)'!H16-'8.sz.m.szociális kiadások (2)'!H17-'8.sz.m.szociális kiadások (2)'!H18</f>
        <v>2755</v>
      </c>
      <c r="AA10" s="301">
        <f>'8.sz.m.szociális kiadások (2)'!I19-'8.sz.m.szociális kiadások (2)'!I16-'8.sz.m.szociális kiadások (2)'!I17-'8.sz.m.szociális kiadások (2)'!I18</f>
        <v>1572</v>
      </c>
      <c r="AB10" s="836">
        <f t="shared" si="6"/>
        <v>0.5705989110707804</v>
      </c>
      <c r="AC10" s="956"/>
    </row>
    <row r="11" spans="1:29" s="5" customFormat="1" ht="22.5" customHeight="1">
      <c r="A11" s="97"/>
      <c r="B11" s="106" t="s">
        <v>53</v>
      </c>
      <c r="C11" s="106"/>
      <c r="D11" s="365" t="s">
        <v>89</v>
      </c>
      <c r="E11" s="422">
        <f aca="true" t="shared" si="7" ref="E11:K11">SUM(E12:E16)</f>
        <v>126095</v>
      </c>
      <c r="F11" s="423">
        <f t="shared" si="7"/>
        <v>131100</v>
      </c>
      <c r="G11" s="423">
        <f t="shared" si="7"/>
        <v>139967</v>
      </c>
      <c r="H11" s="423">
        <f t="shared" si="7"/>
        <v>139996</v>
      </c>
      <c r="I11" s="423">
        <f t="shared" si="7"/>
        <v>143995</v>
      </c>
      <c r="J11" s="423">
        <f t="shared" si="7"/>
        <v>150258</v>
      </c>
      <c r="K11" s="423">
        <f t="shared" si="7"/>
        <v>147255</v>
      </c>
      <c r="L11" s="836">
        <f t="shared" si="4"/>
        <v>0.9800143752745278</v>
      </c>
      <c r="M11" s="422">
        <f aca="true" t="shared" si="8" ref="M11:S11">E11-U11</f>
        <v>110460</v>
      </c>
      <c r="N11" s="423">
        <f t="shared" si="8"/>
        <v>115465</v>
      </c>
      <c r="O11" s="423">
        <f t="shared" si="8"/>
        <v>124752</v>
      </c>
      <c r="P11" s="423">
        <f t="shared" si="8"/>
        <v>124781</v>
      </c>
      <c r="Q11" s="423">
        <f t="shared" si="8"/>
        <v>128780</v>
      </c>
      <c r="R11" s="423">
        <f t="shared" si="8"/>
        <v>135777</v>
      </c>
      <c r="S11" s="423">
        <f t="shared" si="8"/>
        <v>135596</v>
      </c>
      <c r="T11" s="836">
        <f t="shared" si="5"/>
        <v>0.9986669318073017</v>
      </c>
      <c r="U11" s="422">
        <f aca="true" t="shared" si="9" ref="U11:Z11">SUM(U12:U16)</f>
        <v>15635</v>
      </c>
      <c r="V11" s="423">
        <f t="shared" si="9"/>
        <v>15635</v>
      </c>
      <c r="W11" s="423">
        <f t="shared" si="9"/>
        <v>15215</v>
      </c>
      <c r="X11" s="423">
        <f t="shared" si="9"/>
        <v>15215</v>
      </c>
      <c r="Y11" s="423">
        <f t="shared" si="9"/>
        <v>15215</v>
      </c>
      <c r="Z11" s="423">
        <f t="shared" si="9"/>
        <v>14481</v>
      </c>
      <c r="AA11" s="423">
        <f>SUM(AA12:AA16)</f>
        <v>11659</v>
      </c>
      <c r="AB11" s="836">
        <f t="shared" si="6"/>
        <v>0.8051239555279331</v>
      </c>
      <c r="AC11" s="957"/>
    </row>
    <row r="12" spans="1:29" s="5" customFormat="1" ht="22.5" customHeight="1">
      <c r="A12" s="97"/>
      <c r="B12" s="129"/>
      <c r="C12" s="106" t="s">
        <v>88</v>
      </c>
      <c r="D12" s="366" t="s">
        <v>304</v>
      </c>
      <c r="E12" s="369"/>
      <c r="F12" s="301"/>
      <c r="G12" s="301">
        <v>9287</v>
      </c>
      <c r="H12" s="301">
        <f>9287+29</f>
        <v>9316</v>
      </c>
      <c r="I12" s="301">
        <f>9287+29</f>
        <v>9316</v>
      </c>
      <c r="J12" s="301">
        <v>9699</v>
      </c>
      <c r="K12" s="301">
        <v>9518</v>
      </c>
      <c r="L12" s="836">
        <f t="shared" si="4"/>
        <v>0.981338282297144</v>
      </c>
      <c r="M12" s="369"/>
      <c r="N12" s="301"/>
      <c r="O12" s="301"/>
      <c r="P12" s="301"/>
      <c r="Q12" s="301"/>
      <c r="R12" s="301"/>
      <c r="S12" s="301"/>
      <c r="T12" s="836"/>
      <c r="U12" s="369"/>
      <c r="V12" s="301"/>
      <c r="W12" s="301"/>
      <c r="X12" s="301"/>
      <c r="Y12" s="301"/>
      <c r="Z12" s="301"/>
      <c r="AA12" s="301"/>
      <c r="AB12" s="836"/>
      <c r="AC12" s="956"/>
    </row>
    <row r="13" spans="1:29" s="5" customFormat="1" ht="31.5" customHeight="1">
      <c r="A13" s="97"/>
      <c r="B13" s="106"/>
      <c r="C13" s="106" t="s">
        <v>90</v>
      </c>
      <c r="D13" s="364" t="s">
        <v>305</v>
      </c>
      <c r="E13" s="369">
        <v>14376</v>
      </c>
      <c r="F13" s="301">
        <v>14376</v>
      </c>
      <c r="G13" s="301">
        <f>14376-490+70</f>
        <v>13956</v>
      </c>
      <c r="H13" s="301">
        <f>14376-490+70</f>
        <v>13956</v>
      </c>
      <c r="I13" s="301">
        <f>14376-490+70</f>
        <v>13956</v>
      </c>
      <c r="J13" s="301">
        <v>13976</v>
      </c>
      <c r="K13" s="301">
        <v>11154</v>
      </c>
      <c r="L13" s="836">
        <f t="shared" si="4"/>
        <v>0.7980824270177447</v>
      </c>
      <c r="M13" s="369">
        <f>'9.sz.m.átadott pe (3)'!B54</f>
        <v>0</v>
      </c>
      <c r="N13" s="301">
        <f>'9.sz.m.átadott pe (3)'!C54</f>
        <v>0</v>
      </c>
      <c r="O13" s="301">
        <f>'9.sz.m.átadott pe (3)'!D54</f>
        <v>0</v>
      </c>
      <c r="P13" s="301">
        <f>'9.sz.m.átadott pe (3)'!E54</f>
        <v>0</v>
      </c>
      <c r="Q13" s="301">
        <f>'9.sz.m.átadott pe (3)'!F54</f>
        <v>0</v>
      </c>
      <c r="R13" s="301">
        <f>'9.sz.m.átadott pe (3)'!G54</f>
        <v>0</v>
      </c>
      <c r="S13" s="301">
        <f>'9.sz.m.átadott pe (3)'!H54</f>
        <v>0</v>
      </c>
      <c r="T13" s="836"/>
      <c r="U13" s="369">
        <f>'9.sz.m.átadott pe (3)'!J54</f>
        <v>14376</v>
      </c>
      <c r="V13" s="301">
        <f>'9.sz.m.átadott pe (3)'!K54</f>
        <v>14376</v>
      </c>
      <c r="W13" s="301">
        <f>'9.sz.m.átadott pe (3)'!L54</f>
        <v>13956</v>
      </c>
      <c r="X13" s="301">
        <f>'9.sz.m.átadott pe (3)'!M54</f>
        <v>13956</v>
      </c>
      <c r="Y13" s="301">
        <f>'9.sz.m.átadott pe (3)'!N54</f>
        <v>13956</v>
      </c>
      <c r="Z13" s="301">
        <f>'9.sz.m.átadott pe (3)'!O54</f>
        <v>13976</v>
      </c>
      <c r="AA13" s="301">
        <f>'9.sz.m.átadott pe (3)'!P54</f>
        <v>11154</v>
      </c>
      <c r="AB13" s="836">
        <f t="shared" si="6"/>
        <v>0.7980824270177447</v>
      </c>
      <c r="AC13" s="956"/>
    </row>
    <row r="14" spans="1:29" s="5" customFormat="1" ht="36.75" customHeight="1" thickBot="1">
      <c r="A14" s="125"/>
      <c r="B14" s="126"/>
      <c r="C14" s="106" t="s">
        <v>91</v>
      </c>
      <c r="D14" s="364" t="s">
        <v>306</v>
      </c>
      <c r="E14" s="369">
        <v>111719</v>
      </c>
      <c r="F14" s="301">
        <f>111719+8150-3145</f>
        <v>116724</v>
      </c>
      <c r="G14" s="301">
        <f>111719+8150-3145</f>
        <v>116724</v>
      </c>
      <c r="H14" s="301">
        <f>111719+8150-3145</f>
        <v>116724</v>
      </c>
      <c r="I14" s="301">
        <f>111719+8150-3145+3999</f>
        <v>120723</v>
      </c>
      <c r="J14" s="301">
        <v>126583</v>
      </c>
      <c r="K14" s="301">
        <v>126583</v>
      </c>
      <c r="L14" s="836">
        <f t="shared" si="4"/>
        <v>1</v>
      </c>
      <c r="M14" s="369">
        <f>'9.sz.m.átadott pe (3)'!B81</f>
        <v>110460</v>
      </c>
      <c r="N14" s="301">
        <f>'9.sz.m.átadott pe (3)'!C81</f>
        <v>115465</v>
      </c>
      <c r="O14" s="301">
        <f>'9.sz.m.átadott pe (3)'!D81</f>
        <v>115465</v>
      </c>
      <c r="P14" s="301">
        <f>'9.sz.m.átadott pe (3)'!E81</f>
        <v>115465</v>
      </c>
      <c r="Q14" s="301">
        <f>'9.sz.m.átadott pe (3)'!F81</f>
        <v>119464</v>
      </c>
      <c r="R14" s="301">
        <f>'9.sz.m.átadott pe (3)'!G81</f>
        <v>126078</v>
      </c>
      <c r="S14" s="301">
        <f>'9.sz.m.átadott pe (3)'!H81</f>
        <v>126078</v>
      </c>
      <c r="T14" s="836">
        <f t="shared" si="5"/>
        <v>1</v>
      </c>
      <c r="U14" s="369">
        <f>'9.sz.m.átadott pe (3)'!J81</f>
        <v>1259</v>
      </c>
      <c r="V14" s="301">
        <f>'9.sz.m.átadott pe (3)'!K81</f>
        <v>1259</v>
      </c>
      <c r="W14" s="301">
        <f>'9.sz.m.átadott pe (3)'!L81</f>
        <v>1259</v>
      </c>
      <c r="X14" s="301">
        <f>'9.sz.m.átadott pe (3)'!M81</f>
        <v>1259</v>
      </c>
      <c r="Y14" s="301">
        <f>'9.sz.m.átadott pe (3)'!N81</f>
        <v>1259</v>
      </c>
      <c r="Z14" s="301">
        <f>'9.sz.m.átadott pe (3)'!O81</f>
        <v>505</v>
      </c>
      <c r="AA14" s="301">
        <f>'9.sz.m.átadott pe (3)'!P81</f>
        <v>505</v>
      </c>
      <c r="AB14" s="836">
        <f t="shared" si="6"/>
        <v>1</v>
      </c>
      <c r="AC14" s="956"/>
    </row>
    <row r="15" spans="1:29" s="5" customFormat="1" ht="22.5" customHeight="1" hidden="1">
      <c r="A15" s="97"/>
      <c r="B15" s="106"/>
      <c r="C15" s="106" t="s">
        <v>94</v>
      </c>
      <c r="D15" s="364" t="s">
        <v>96</v>
      </c>
      <c r="E15" s="422"/>
      <c r="F15" s="423"/>
      <c r="G15" s="423"/>
      <c r="H15" s="423"/>
      <c r="I15" s="423"/>
      <c r="J15" s="423"/>
      <c r="K15" s="423"/>
      <c r="L15" s="1077" t="e">
        <f>I15/H15</f>
        <v>#DIV/0!</v>
      </c>
      <c r="M15" s="422"/>
      <c r="N15" s="423"/>
      <c r="O15" s="423"/>
      <c r="P15" s="423"/>
      <c r="Q15" s="423"/>
      <c r="R15" s="423"/>
      <c r="S15" s="423"/>
      <c r="T15" s="1077" t="e">
        <f>Q15/P15</f>
        <v>#DIV/0!</v>
      </c>
      <c r="U15" s="422"/>
      <c r="V15" s="423"/>
      <c r="W15" s="423"/>
      <c r="X15" s="423"/>
      <c r="Y15" s="423"/>
      <c r="Z15" s="423"/>
      <c r="AA15" s="423"/>
      <c r="AB15" s="1077" t="e">
        <f>Y15/X15</f>
        <v>#DIV/0!</v>
      </c>
      <c r="AC15" s="1089"/>
    </row>
    <row r="16" spans="1:29" s="5" customFormat="1" ht="22.5" customHeight="1" hidden="1" thickBot="1">
      <c r="A16" s="133"/>
      <c r="B16" s="120"/>
      <c r="C16" s="120" t="s">
        <v>95</v>
      </c>
      <c r="D16" s="367" t="s">
        <v>97</v>
      </c>
      <c r="E16" s="379"/>
      <c r="F16" s="136"/>
      <c r="G16" s="136"/>
      <c r="H16" s="136"/>
      <c r="I16" s="136"/>
      <c r="J16" s="136"/>
      <c r="K16" s="136"/>
      <c r="L16" s="840" t="e">
        <f>I16/H16</f>
        <v>#DIV/0!</v>
      </c>
      <c r="M16" s="379"/>
      <c r="N16" s="136"/>
      <c r="O16" s="136"/>
      <c r="P16" s="136"/>
      <c r="Q16" s="136"/>
      <c r="R16" s="136"/>
      <c r="S16" s="136"/>
      <c r="T16" s="840" t="e">
        <f>Q16/P16</f>
        <v>#DIV/0!</v>
      </c>
      <c r="U16" s="379"/>
      <c r="V16" s="136"/>
      <c r="W16" s="136"/>
      <c r="X16" s="136"/>
      <c r="Y16" s="136"/>
      <c r="Z16" s="136"/>
      <c r="AA16" s="136"/>
      <c r="AB16" s="840" t="e">
        <f>Y16/X16</f>
        <v>#DIV/0!</v>
      </c>
      <c r="AC16" s="960"/>
    </row>
    <row r="17" spans="1:29" s="5" customFormat="1" ht="22.5" customHeight="1" thickBot="1">
      <c r="A17" s="115" t="s">
        <v>31</v>
      </c>
      <c r="B17" s="1135" t="s">
        <v>98</v>
      </c>
      <c r="C17" s="1135"/>
      <c r="D17" s="1135"/>
      <c r="E17" s="375">
        <f aca="true" t="shared" si="10" ref="E17:K17">SUM(E18:E20)</f>
        <v>75830</v>
      </c>
      <c r="F17" s="79">
        <f t="shared" si="10"/>
        <v>75830</v>
      </c>
      <c r="G17" s="79">
        <f t="shared" si="10"/>
        <v>76593</v>
      </c>
      <c r="H17" s="79">
        <f t="shared" si="10"/>
        <v>76593</v>
      </c>
      <c r="I17" s="79">
        <f t="shared" si="10"/>
        <v>76595</v>
      </c>
      <c r="J17" s="79">
        <f t="shared" si="10"/>
        <v>78031</v>
      </c>
      <c r="K17" s="79">
        <f t="shared" si="10"/>
        <v>71148</v>
      </c>
      <c r="L17" s="831">
        <f>K17/J17</f>
        <v>0.9117914674936884</v>
      </c>
      <c r="M17" s="375">
        <f aca="true" t="shared" si="11" ref="M17:R17">SUM(M18:M20)</f>
        <v>74030</v>
      </c>
      <c r="N17" s="79">
        <f t="shared" si="11"/>
        <v>74030</v>
      </c>
      <c r="O17" s="79">
        <f t="shared" si="11"/>
        <v>74030</v>
      </c>
      <c r="P17" s="79">
        <f t="shared" si="11"/>
        <v>74030</v>
      </c>
      <c r="Q17" s="79">
        <f t="shared" si="11"/>
        <v>74032</v>
      </c>
      <c r="R17" s="79">
        <f t="shared" si="11"/>
        <v>75418</v>
      </c>
      <c r="S17" s="79">
        <f>SUM(S18:S20)</f>
        <v>68537</v>
      </c>
      <c r="T17" s="831">
        <f>S17/R17</f>
        <v>0.908761834044923</v>
      </c>
      <c r="U17" s="375">
        <f aca="true" t="shared" si="12" ref="U17:Z17">SUM(U18:U20)</f>
        <v>1800</v>
      </c>
      <c r="V17" s="79">
        <f t="shared" si="12"/>
        <v>1800</v>
      </c>
      <c r="W17" s="79">
        <f t="shared" si="12"/>
        <v>2563</v>
      </c>
      <c r="X17" s="79">
        <f t="shared" si="12"/>
        <v>2563</v>
      </c>
      <c r="Y17" s="79">
        <f t="shared" si="12"/>
        <v>2563</v>
      </c>
      <c r="Z17" s="79">
        <f t="shared" si="12"/>
        <v>2613</v>
      </c>
      <c r="AA17" s="79">
        <f>SUM(AA18:AA20)</f>
        <v>2611</v>
      </c>
      <c r="AB17" s="831">
        <f>AA17/Z17</f>
        <v>0.9992345962495216</v>
      </c>
      <c r="AC17" s="1087">
        <f>SUM(AC18:AC20)</f>
        <v>0</v>
      </c>
    </row>
    <row r="18" spans="1:29" s="5" customFormat="1" ht="22.5" customHeight="1">
      <c r="A18" s="114"/>
      <c r="B18" s="119" t="s">
        <v>42</v>
      </c>
      <c r="C18" s="1141" t="s">
        <v>99</v>
      </c>
      <c r="D18" s="1141"/>
      <c r="E18" s="374">
        <v>6000</v>
      </c>
      <c r="F18" s="304">
        <v>6000</v>
      </c>
      <c r="G18" s="304">
        <f>6000+1499</f>
        <v>7499</v>
      </c>
      <c r="H18" s="304">
        <f>6000+1499+151</f>
        <v>7650</v>
      </c>
      <c r="I18" s="304">
        <f>6000+1499+151</f>
        <v>7650</v>
      </c>
      <c r="J18" s="304">
        <v>9036</v>
      </c>
      <c r="K18" s="304">
        <v>3034</v>
      </c>
      <c r="L18" s="836">
        <f>K18/J18</f>
        <v>0.33576803895528995</v>
      </c>
      <c r="M18" s="374">
        <f>'6.a.sz.m.fejlesztés (3)'!D16</f>
        <v>6000</v>
      </c>
      <c r="N18" s="304">
        <f>'6.a.sz.m.fejlesztés (3)'!E16</f>
        <v>6000</v>
      </c>
      <c r="O18" s="304">
        <f>'6.a.sz.m.fejlesztés (3)'!F16</f>
        <v>7499</v>
      </c>
      <c r="P18" s="304">
        <f>'6.a.sz.m.fejlesztés (3)'!G16</f>
        <v>7650</v>
      </c>
      <c r="Q18" s="304">
        <f>'6.a.sz.m.fejlesztés (3)'!H16</f>
        <v>7650</v>
      </c>
      <c r="R18" s="304">
        <f>'6.a.sz.m.fejlesztés (3)'!I16</f>
        <v>9036</v>
      </c>
      <c r="S18" s="304">
        <f>'6.a.sz.m.fejlesztés (3)'!J16</f>
        <v>3034</v>
      </c>
      <c r="T18" s="836">
        <f>S18/R18</f>
        <v>0.33576803895528995</v>
      </c>
      <c r="U18" s="374">
        <v>0</v>
      </c>
      <c r="V18" s="304">
        <v>0</v>
      </c>
      <c r="W18" s="304"/>
      <c r="X18" s="304"/>
      <c r="Y18" s="304"/>
      <c r="Z18" s="304"/>
      <c r="AA18" s="304"/>
      <c r="AB18" s="836"/>
      <c r="AC18" s="956">
        <v>0</v>
      </c>
    </row>
    <row r="19" spans="1:29" s="5" customFormat="1" ht="22.5" customHeight="1">
      <c r="A19" s="97"/>
      <c r="B19" s="106" t="s">
        <v>43</v>
      </c>
      <c r="C19" s="1150" t="s">
        <v>100</v>
      </c>
      <c r="D19" s="1150"/>
      <c r="E19" s="369">
        <v>68030</v>
      </c>
      <c r="F19" s="301">
        <v>68030</v>
      </c>
      <c r="G19" s="301">
        <f>68030-1499</f>
        <v>66531</v>
      </c>
      <c r="H19" s="301">
        <f>68030-1499-151</f>
        <v>66380</v>
      </c>
      <c r="I19" s="301">
        <f>68030-1499-151+2</f>
        <v>66382</v>
      </c>
      <c r="J19" s="301">
        <v>66382</v>
      </c>
      <c r="K19" s="301">
        <v>65503</v>
      </c>
      <c r="L19" s="836">
        <f>K19/J19</f>
        <v>0.9867584586183001</v>
      </c>
      <c r="M19" s="369">
        <f>'6.a.sz.m.fejlesztés (3)'!D32</f>
        <v>68030</v>
      </c>
      <c r="N19" s="301">
        <f>'6.a.sz.m.fejlesztés (3)'!E32</f>
        <v>68030</v>
      </c>
      <c r="O19" s="301">
        <f>'6.a.sz.m.fejlesztés (3)'!F32</f>
        <v>66531</v>
      </c>
      <c r="P19" s="301">
        <f>'6.a.sz.m.fejlesztés (3)'!G32</f>
        <v>66380</v>
      </c>
      <c r="Q19" s="301">
        <f>'6.a.sz.m.fejlesztés (3)'!H32</f>
        <v>66382</v>
      </c>
      <c r="R19" s="301">
        <f>'6.a.sz.m.fejlesztés (3)'!I32</f>
        <v>66382</v>
      </c>
      <c r="S19" s="301">
        <f>'6.a.sz.m.fejlesztés (3)'!J32</f>
        <v>65503</v>
      </c>
      <c r="T19" s="836">
        <f>S19/R19</f>
        <v>0.9867584586183001</v>
      </c>
      <c r="U19" s="369">
        <v>0</v>
      </c>
      <c r="V19" s="301">
        <v>0</v>
      </c>
      <c r="W19" s="301"/>
      <c r="X19" s="301"/>
      <c r="Y19" s="301"/>
      <c r="Z19" s="301"/>
      <c r="AA19" s="301"/>
      <c r="AB19" s="836"/>
      <c r="AC19" s="958">
        <v>0</v>
      </c>
    </row>
    <row r="20" spans="1:29" s="5" customFormat="1" ht="22.5" customHeight="1">
      <c r="A20" s="127"/>
      <c r="B20" s="106" t="s">
        <v>44</v>
      </c>
      <c r="C20" s="1160" t="s">
        <v>101</v>
      </c>
      <c r="D20" s="1160"/>
      <c r="E20" s="422">
        <f aca="true" t="shared" si="13" ref="E20:K20">SUM(E21:E24)</f>
        <v>1800</v>
      </c>
      <c r="F20" s="423">
        <f t="shared" si="13"/>
        <v>1800</v>
      </c>
      <c r="G20" s="423">
        <f t="shared" si="13"/>
        <v>2563</v>
      </c>
      <c r="H20" s="423">
        <f t="shared" si="13"/>
        <v>2563</v>
      </c>
      <c r="I20" s="423">
        <f t="shared" si="13"/>
        <v>2563</v>
      </c>
      <c r="J20" s="423">
        <f t="shared" si="13"/>
        <v>2613</v>
      </c>
      <c r="K20" s="423">
        <f t="shared" si="13"/>
        <v>2611</v>
      </c>
      <c r="L20" s="836">
        <f>K20/J20</f>
        <v>0.9992345962495216</v>
      </c>
      <c r="M20" s="422">
        <f>E20-U20</f>
        <v>0</v>
      </c>
      <c r="N20" s="423">
        <f>F20-V20</f>
        <v>0</v>
      </c>
      <c r="O20" s="423">
        <f>SUM(O21:O24)</f>
        <v>0</v>
      </c>
      <c r="P20" s="423">
        <f>SUM(P21:P24)</f>
        <v>0</v>
      </c>
      <c r="Q20" s="423">
        <f>SUM(Q21:Q24)</f>
        <v>0</v>
      </c>
      <c r="R20" s="423">
        <f>SUM(R21:R24)</f>
        <v>0</v>
      </c>
      <c r="S20" s="423">
        <f>SUM(S21:S24)</f>
        <v>0</v>
      </c>
      <c r="T20" s="836"/>
      <c r="U20" s="422">
        <f aca="true" t="shared" si="14" ref="U20:Z20">SUM(U21:U24)</f>
        <v>1800</v>
      </c>
      <c r="V20" s="423">
        <f t="shared" si="14"/>
        <v>1800</v>
      </c>
      <c r="W20" s="423">
        <f t="shared" si="14"/>
        <v>2563</v>
      </c>
      <c r="X20" s="423">
        <f t="shared" si="14"/>
        <v>2563</v>
      </c>
      <c r="Y20" s="423">
        <f t="shared" si="14"/>
        <v>2563</v>
      </c>
      <c r="Z20" s="423">
        <f t="shared" si="14"/>
        <v>2613</v>
      </c>
      <c r="AA20" s="423">
        <f>SUM(AA21:AA24)</f>
        <v>2611</v>
      </c>
      <c r="AB20" s="836">
        <f>AA20/Z20</f>
        <v>0.9992345962495216</v>
      </c>
      <c r="AC20" s="957"/>
    </row>
    <row r="21" spans="1:29" s="5" customFormat="1" ht="22.5" customHeight="1">
      <c r="A21" s="103"/>
      <c r="B21" s="107"/>
      <c r="C21" s="107" t="s">
        <v>102</v>
      </c>
      <c r="D21" s="259" t="s">
        <v>92</v>
      </c>
      <c r="E21" s="369">
        <v>1800</v>
      </c>
      <c r="F21" s="301">
        <v>1800</v>
      </c>
      <c r="G21" s="301">
        <f>1800+763</f>
        <v>2563</v>
      </c>
      <c r="H21" s="301">
        <f>1800+763</f>
        <v>2563</v>
      </c>
      <c r="I21" s="301">
        <f>1800+763</f>
        <v>2563</v>
      </c>
      <c r="J21" s="301">
        <v>2613</v>
      </c>
      <c r="K21" s="301">
        <v>2611</v>
      </c>
      <c r="L21" s="836">
        <f>K21/J21</f>
        <v>0.9992345962495216</v>
      </c>
      <c r="M21" s="369">
        <f>'9.sz.m.átadott pe (3)'!R54</f>
        <v>0</v>
      </c>
      <c r="N21" s="301">
        <f>'9.sz.m.átadott pe (3)'!S54</f>
        <v>0</v>
      </c>
      <c r="O21" s="301"/>
      <c r="P21" s="301"/>
      <c r="Q21" s="301"/>
      <c r="R21" s="301"/>
      <c r="S21" s="301"/>
      <c r="T21" s="836"/>
      <c r="U21" s="369">
        <f>'9.sz.m.átadott pe (3)'!X54</f>
        <v>1800</v>
      </c>
      <c r="V21" s="301">
        <f>'9.sz.m.átadott pe (3)'!Y54</f>
        <v>1800</v>
      </c>
      <c r="W21" s="301">
        <f>'9.sz.m.átadott pe (3)'!Z54</f>
        <v>2563</v>
      </c>
      <c r="X21" s="301">
        <f>'9.sz.m.átadott pe (3)'!AA54</f>
        <v>2563</v>
      </c>
      <c r="Y21" s="301">
        <f>'9.sz.m.átadott pe (3)'!AB54</f>
        <v>2563</v>
      </c>
      <c r="Z21" s="301">
        <f>'9.sz.m.átadott pe (3)'!AC54</f>
        <v>2613</v>
      </c>
      <c r="AA21" s="301">
        <f>'9.sz.m.átadott pe (3)'!AD54</f>
        <v>2611</v>
      </c>
      <c r="AB21" s="836">
        <f>AA21/Z21</f>
        <v>0.9992345962495216</v>
      </c>
      <c r="AC21" s="956"/>
    </row>
    <row r="22" spans="1:29" s="5" customFormat="1" ht="22.5" customHeight="1">
      <c r="A22" s="103"/>
      <c r="B22" s="107"/>
      <c r="C22" s="107" t="s">
        <v>103</v>
      </c>
      <c r="D22" s="259" t="s">
        <v>93</v>
      </c>
      <c r="E22" s="369">
        <v>0</v>
      </c>
      <c r="F22" s="301">
        <v>0</v>
      </c>
      <c r="G22" s="301">
        <v>0</v>
      </c>
      <c r="H22" s="301">
        <v>0</v>
      </c>
      <c r="I22" s="301">
        <v>0</v>
      </c>
      <c r="J22" s="301"/>
      <c r="K22" s="301"/>
      <c r="L22" s="834"/>
      <c r="M22" s="369">
        <v>0</v>
      </c>
      <c r="N22" s="301">
        <v>0</v>
      </c>
      <c r="O22" s="301">
        <v>0</v>
      </c>
      <c r="P22" s="301">
        <v>0</v>
      </c>
      <c r="Q22" s="301">
        <v>0</v>
      </c>
      <c r="R22" s="301">
        <v>0</v>
      </c>
      <c r="S22" s="301">
        <v>0</v>
      </c>
      <c r="T22" s="834"/>
      <c r="U22" s="369">
        <v>0</v>
      </c>
      <c r="V22" s="301">
        <v>0</v>
      </c>
      <c r="W22" s="301">
        <v>0</v>
      </c>
      <c r="X22" s="301">
        <v>0</v>
      </c>
      <c r="Y22" s="301">
        <v>0</v>
      </c>
      <c r="Z22" s="301">
        <v>0</v>
      </c>
      <c r="AA22" s="301">
        <v>0</v>
      </c>
      <c r="AB22" s="834"/>
      <c r="AC22" s="958">
        <v>0</v>
      </c>
    </row>
    <row r="23" spans="1:29" s="5" customFormat="1" ht="22.5" customHeight="1">
      <c r="A23" s="127"/>
      <c r="B23" s="259"/>
      <c r="C23" s="107" t="s">
        <v>104</v>
      </c>
      <c r="D23" s="259" t="s">
        <v>96</v>
      </c>
      <c r="E23" s="422">
        <v>0</v>
      </c>
      <c r="F23" s="423">
        <v>0</v>
      </c>
      <c r="G23" s="423">
        <v>0</v>
      </c>
      <c r="H23" s="423">
        <v>0</v>
      </c>
      <c r="I23" s="423">
        <v>0</v>
      </c>
      <c r="J23" s="423"/>
      <c r="K23" s="423"/>
      <c r="L23" s="1077"/>
      <c r="M23" s="422">
        <v>0</v>
      </c>
      <c r="N23" s="423">
        <v>0</v>
      </c>
      <c r="O23" s="423">
        <v>0</v>
      </c>
      <c r="P23" s="423">
        <v>0</v>
      </c>
      <c r="Q23" s="423">
        <v>0</v>
      </c>
      <c r="R23" s="423">
        <v>0</v>
      </c>
      <c r="S23" s="423">
        <v>0</v>
      </c>
      <c r="T23" s="1077"/>
      <c r="U23" s="422">
        <v>0</v>
      </c>
      <c r="V23" s="423">
        <v>0</v>
      </c>
      <c r="W23" s="423">
        <v>0</v>
      </c>
      <c r="X23" s="423">
        <v>0</v>
      </c>
      <c r="Y23" s="423">
        <v>0</v>
      </c>
      <c r="Z23" s="423">
        <v>0</v>
      </c>
      <c r="AA23" s="423">
        <v>0</v>
      </c>
      <c r="AB23" s="1077"/>
      <c r="AC23" s="957">
        <v>0</v>
      </c>
    </row>
    <row r="24" spans="1:29" s="5" customFormat="1" ht="22.5" customHeight="1" thickBot="1">
      <c r="A24" s="284"/>
      <c r="B24" s="285"/>
      <c r="C24" s="286" t="s">
        <v>222</v>
      </c>
      <c r="D24" s="285" t="s">
        <v>223</v>
      </c>
      <c r="E24" s="425">
        <v>0</v>
      </c>
      <c r="F24" s="424">
        <v>0</v>
      </c>
      <c r="G24" s="424">
        <v>0</v>
      </c>
      <c r="H24" s="424">
        <v>0</v>
      </c>
      <c r="I24" s="424">
        <v>0</v>
      </c>
      <c r="J24" s="424"/>
      <c r="K24" s="424"/>
      <c r="L24" s="1092"/>
      <c r="M24" s="425">
        <v>0</v>
      </c>
      <c r="N24" s="424">
        <v>0</v>
      </c>
      <c r="O24" s="424">
        <v>0</v>
      </c>
      <c r="P24" s="424">
        <v>0</v>
      </c>
      <c r="Q24" s="424">
        <v>0</v>
      </c>
      <c r="R24" s="424">
        <v>0</v>
      </c>
      <c r="S24" s="424">
        <v>0</v>
      </c>
      <c r="T24" s="1092"/>
      <c r="U24" s="425">
        <v>0</v>
      </c>
      <c r="V24" s="424">
        <v>0</v>
      </c>
      <c r="W24" s="424">
        <v>0</v>
      </c>
      <c r="X24" s="424">
        <v>0</v>
      </c>
      <c r="Y24" s="424">
        <v>0</v>
      </c>
      <c r="Z24" s="424">
        <v>0</v>
      </c>
      <c r="AA24" s="424">
        <v>0</v>
      </c>
      <c r="AB24" s="1092"/>
      <c r="AC24" s="960">
        <v>0</v>
      </c>
    </row>
    <row r="25" spans="1:29" s="5" customFormat="1" ht="22.5" customHeight="1" thickBot="1">
      <c r="A25" s="115" t="s">
        <v>10</v>
      </c>
      <c r="B25" s="1135" t="s">
        <v>105</v>
      </c>
      <c r="C25" s="1135"/>
      <c r="D25" s="1135"/>
      <c r="E25" s="375">
        <f aca="true" t="shared" si="15" ref="E25:O25">SUM(E26:E28)</f>
        <v>36747</v>
      </c>
      <c r="F25" s="79">
        <f t="shared" si="15"/>
        <v>30958</v>
      </c>
      <c r="G25" s="79">
        <f t="shared" si="15"/>
        <v>22728</v>
      </c>
      <c r="H25" s="79">
        <f>SUM(H26:H28)</f>
        <v>25644</v>
      </c>
      <c r="I25" s="79">
        <f>SUM(I26:I28)</f>
        <v>61802</v>
      </c>
      <c r="J25" s="79">
        <f>SUM(J26:J28)</f>
        <v>0</v>
      </c>
      <c r="K25" s="79">
        <f>SUM(K26:K28)</f>
        <v>0</v>
      </c>
      <c r="L25" s="831">
        <v>0</v>
      </c>
      <c r="M25" s="375">
        <f t="shared" si="15"/>
        <v>36747</v>
      </c>
      <c r="N25" s="79">
        <f t="shared" si="15"/>
        <v>30958</v>
      </c>
      <c r="O25" s="79">
        <f t="shared" si="15"/>
        <v>22728</v>
      </c>
      <c r="P25" s="79">
        <f>SUM(P26:P28)</f>
        <v>25644</v>
      </c>
      <c r="Q25" s="79">
        <f>SUM(Q26:Q28)</f>
        <v>61802</v>
      </c>
      <c r="R25" s="79">
        <f>SUM(R26:R28)</f>
        <v>0</v>
      </c>
      <c r="S25" s="79">
        <f>SUM(S26:S28)</f>
        <v>0</v>
      </c>
      <c r="T25" s="831">
        <v>0</v>
      </c>
      <c r="U25" s="375">
        <f aca="true" t="shared" si="16" ref="U25:Z25">SUM(U26:U28)</f>
        <v>0</v>
      </c>
      <c r="V25" s="79">
        <f t="shared" si="16"/>
        <v>0</v>
      </c>
      <c r="W25" s="79">
        <f t="shared" si="16"/>
        <v>0</v>
      </c>
      <c r="X25" s="79">
        <f t="shared" si="16"/>
        <v>0</v>
      </c>
      <c r="Y25" s="79">
        <f t="shared" si="16"/>
        <v>0</v>
      </c>
      <c r="Z25" s="79">
        <f t="shared" si="16"/>
        <v>0</v>
      </c>
      <c r="AA25" s="79">
        <f>SUM(AA26:AA28)</f>
        <v>0</v>
      </c>
      <c r="AB25" s="831">
        <v>0</v>
      </c>
      <c r="AC25" s="1087">
        <f>SUM(AC26:AC28)</f>
        <v>0</v>
      </c>
    </row>
    <row r="26" spans="1:29" s="5" customFormat="1" ht="22.5" customHeight="1">
      <c r="A26" s="114"/>
      <c r="B26" s="119" t="s">
        <v>45</v>
      </c>
      <c r="C26" s="1141" t="s">
        <v>3</v>
      </c>
      <c r="D26" s="1141"/>
      <c r="E26" s="374">
        <v>36747</v>
      </c>
      <c r="F26" s="304">
        <f>36747-8934+3145</f>
        <v>30958</v>
      </c>
      <c r="G26" s="304">
        <f>36747-8934+3145-8230</f>
        <v>22728</v>
      </c>
      <c r="H26" s="304">
        <f>36747-8934+3145-8230+2721+195</f>
        <v>25644</v>
      </c>
      <c r="I26" s="304">
        <f>36747-8934+3145-8230+2721+195+35875+1638-1687+332</f>
        <v>61802</v>
      </c>
      <c r="J26" s="304"/>
      <c r="K26" s="304"/>
      <c r="L26" s="836"/>
      <c r="M26" s="374">
        <f aca="true" t="shared" si="17" ref="M26:S26">E26-U26</f>
        <v>36747</v>
      </c>
      <c r="N26" s="304">
        <f t="shared" si="17"/>
        <v>30958</v>
      </c>
      <c r="O26" s="304">
        <f t="shared" si="17"/>
        <v>22728</v>
      </c>
      <c r="P26" s="304">
        <f t="shared" si="17"/>
        <v>25644</v>
      </c>
      <c r="Q26" s="304">
        <f t="shared" si="17"/>
        <v>61802</v>
      </c>
      <c r="R26" s="304">
        <f t="shared" si="17"/>
        <v>0</v>
      </c>
      <c r="S26" s="304">
        <f t="shared" si="17"/>
        <v>0</v>
      </c>
      <c r="T26" s="836"/>
      <c r="U26" s="374">
        <v>0</v>
      </c>
      <c r="V26" s="304">
        <v>0</v>
      </c>
      <c r="W26" s="304">
        <v>0</v>
      </c>
      <c r="X26" s="304">
        <v>0</v>
      </c>
      <c r="Y26" s="304">
        <v>0</v>
      </c>
      <c r="Z26" s="304">
        <v>0</v>
      </c>
      <c r="AA26" s="304">
        <v>0</v>
      </c>
      <c r="AB26" s="836"/>
      <c r="AC26" s="956">
        <v>0</v>
      </c>
    </row>
    <row r="27" spans="1:29" s="8" customFormat="1" ht="22.5" customHeight="1">
      <c r="A27" s="128"/>
      <c r="B27" s="106" t="s">
        <v>46</v>
      </c>
      <c r="C27" s="1132" t="s">
        <v>307</v>
      </c>
      <c r="D27" s="1132"/>
      <c r="E27" s="369">
        <v>0</v>
      </c>
      <c r="F27" s="301">
        <v>0</v>
      </c>
      <c r="G27" s="301">
        <v>0</v>
      </c>
      <c r="H27" s="301">
        <v>0</v>
      </c>
      <c r="I27" s="301">
        <v>0</v>
      </c>
      <c r="J27" s="301"/>
      <c r="K27" s="301"/>
      <c r="L27" s="834"/>
      <c r="M27" s="369">
        <v>0</v>
      </c>
      <c r="N27" s="301">
        <v>0</v>
      </c>
      <c r="O27" s="301">
        <v>0</v>
      </c>
      <c r="P27" s="301">
        <v>0</v>
      </c>
      <c r="Q27" s="301">
        <v>0</v>
      </c>
      <c r="R27" s="301">
        <v>0</v>
      </c>
      <c r="S27" s="301">
        <v>0</v>
      </c>
      <c r="T27" s="834"/>
      <c r="U27" s="369">
        <v>0</v>
      </c>
      <c r="V27" s="301">
        <v>0</v>
      </c>
      <c r="W27" s="301">
        <v>0</v>
      </c>
      <c r="X27" s="301">
        <v>0</v>
      </c>
      <c r="Y27" s="301">
        <v>0</v>
      </c>
      <c r="Z27" s="301">
        <v>0</v>
      </c>
      <c r="AA27" s="301">
        <v>0</v>
      </c>
      <c r="AB27" s="834"/>
      <c r="AC27" s="958">
        <v>0</v>
      </c>
    </row>
    <row r="28" spans="1:29" s="8" customFormat="1" ht="22.5" customHeight="1" thickBot="1">
      <c r="A28" s="134"/>
      <c r="B28" s="120" t="s">
        <v>73</v>
      </c>
      <c r="C28" s="135" t="s">
        <v>106</v>
      </c>
      <c r="D28" s="135"/>
      <c r="E28" s="389">
        <v>0</v>
      </c>
      <c r="F28" s="390">
        <v>0</v>
      </c>
      <c r="G28" s="390">
        <v>0</v>
      </c>
      <c r="H28" s="390">
        <v>0</v>
      </c>
      <c r="I28" s="390">
        <v>0</v>
      </c>
      <c r="J28" s="390"/>
      <c r="K28" s="390"/>
      <c r="L28" s="833"/>
      <c r="M28" s="389">
        <v>0</v>
      </c>
      <c r="N28" s="390">
        <v>0</v>
      </c>
      <c r="O28" s="390">
        <v>0</v>
      </c>
      <c r="P28" s="390">
        <v>0</v>
      </c>
      <c r="Q28" s="390">
        <v>0</v>
      </c>
      <c r="R28" s="390">
        <v>0</v>
      </c>
      <c r="S28" s="390">
        <v>0</v>
      </c>
      <c r="T28" s="833"/>
      <c r="U28" s="389">
        <v>0</v>
      </c>
      <c r="V28" s="390">
        <v>0</v>
      </c>
      <c r="W28" s="390">
        <v>0</v>
      </c>
      <c r="X28" s="390">
        <v>0</v>
      </c>
      <c r="Y28" s="390">
        <v>0</v>
      </c>
      <c r="Z28" s="390">
        <v>0</v>
      </c>
      <c r="AA28" s="390">
        <v>0</v>
      </c>
      <c r="AB28" s="833"/>
      <c r="AC28" s="961">
        <v>0</v>
      </c>
    </row>
    <row r="29" spans="1:29" s="80" customFormat="1" ht="22.5" customHeight="1" thickBot="1">
      <c r="A29" s="95" t="s">
        <v>11</v>
      </c>
      <c r="B29" s="121" t="s">
        <v>107</v>
      </c>
      <c r="C29" s="121"/>
      <c r="D29" s="121"/>
      <c r="E29" s="376">
        <v>0</v>
      </c>
      <c r="F29" s="377">
        <v>0</v>
      </c>
      <c r="G29" s="377">
        <v>0</v>
      </c>
      <c r="H29" s="377">
        <v>0</v>
      </c>
      <c r="I29" s="377">
        <v>0</v>
      </c>
      <c r="J29" s="377"/>
      <c r="K29" s="377"/>
      <c r="L29" s="837"/>
      <c r="M29" s="376">
        <v>0</v>
      </c>
      <c r="N29" s="377">
        <v>0</v>
      </c>
      <c r="O29" s="377">
        <v>0</v>
      </c>
      <c r="P29" s="377">
        <v>0</v>
      </c>
      <c r="Q29" s="377">
        <v>0</v>
      </c>
      <c r="R29" s="377">
        <v>0</v>
      </c>
      <c r="S29" s="377">
        <v>0</v>
      </c>
      <c r="T29" s="837"/>
      <c r="U29" s="376">
        <v>0</v>
      </c>
      <c r="V29" s="377">
        <v>0</v>
      </c>
      <c r="W29" s="377">
        <v>0</v>
      </c>
      <c r="X29" s="377">
        <v>0</v>
      </c>
      <c r="Y29" s="377">
        <v>0</v>
      </c>
      <c r="Z29" s="377">
        <v>0</v>
      </c>
      <c r="AA29" s="377">
        <v>0</v>
      </c>
      <c r="AB29" s="837"/>
      <c r="AC29" s="962">
        <v>0</v>
      </c>
    </row>
    <row r="30" spans="1:29" s="80" customFormat="1" ht="22.5" customHeight="1" thickBot="1">
      <c r="A30" s="115"/>
      <c r="B30" s="1135"/>
      <c r="C30" s="1135"/>
      <c r="D30" s="1135"/>
      <c r="E30" s="838"/>
      <c r="F30" s="839"/>
      <c r="G30" s="839"/>
      <c r="H30" s="839"/>
      <c r="I30" s="839"/>
      <c r="J30" s="839"/>
      <c r="K30" s="839"/>
      <c r="L30" s="1093"/>
      <c r="M30" s="838"/>
      <c r="N30" s="839"/>
      <c r="O30" s="839"/>
      <c r="P30" s="839"/>
      <c r="Q30" s="839"/>
      <c r="R30" s="839"/>
      <c r="S30" s="839"/>
      <c r="T30" s="1093"/>
      <c r="U30" s="838"/>
      <c r="V30" s="839"/>
      <c r="W30" s="839">
        <v>0</v>
      </c>
      <c r="X30" s="839">
        <v>0</v>
      </c>
      <c r="Y30" s="839">
        <v>0</v>
      </c>
      <c r="Z30" s="839">
        <v>0</v>
      </c>
      <c r="AA30" s="839">
        <v>0</v>
      </c>
      <c r="AB30" s="1093"/>
      <c r="AC30" s="1086">
        <v>0</v>
      </c>
    </row>
    <row r="31" spans="1:29" s="80" customFormat="1" ht="22.5" customHeight="1" thickBot="1">
      <c r="A31" s="115" t="s">
        <v>11</v>
      </c>
      <c r="B31" s="1110" t="s">
        <v>108</v>
      </c>
      <c r="C31" s="1110"/>
      <c r="D31" s="1110"/>
      <c r="E31" s="373">
        <f aca="true" t="shared" si="18" ref="E31:J31">E6+E17+E25+E29</f>
        <v>363964</v>
      </c>
      <c r="F31" s="302">
        <f t="shared" si="18"/>
        <v>363180</v>
      </c>
      <c r="G31" s="302">
        <f t="shared" si="18"/>
        <v>371709</v>
      </c>
      <c r="H31" s="302">
        <f t="shared" si="18"/>
        <v>375334</v>
      </c>
      <c r="I31" s="302">
        <f t="shared" si="18"/>
        <v>418281</v>
      </c>
      <c r="J31" s="302">
        <f t="shared" si="18"/>
        <v>466451</v>
      </c>
      <c r="K31" s="302">
        <f>K6+K17+K25+K29</f>
        <v>320894</v>
      </c>
      <c r="L31" s="831">
        <f>I31/H31</f>
        <v>1.1144234202070689</v>
      </c>
      <c r="M31" s="373">
        <f aca="true" t="shared" si="19" ref="M31:R31">M6+M17+M25</f>
        <v>343129</v>
      </c>
      <c r="N31" s="302">
        <f t="shared" si="19"/>
        <v>342345</v>
      </c>
      <c r="O31" s="302">
        <f t="shared" si="19"/>
        <v>350041</v>
      </c>
      <c r="P31" s="302">
        <f t="shared" si="19"/>
        <v>353666</v>
      </c>
      <c r="Q31" s="302">
        <f t="shared" si="19"/>
        <v>396613</v>
      </c>
      <c r="R31" s="302">
        <f t="shared" si="19"/>
        <v>445467</v>
      </c>
      <c r="S31" s="302">
        <f>S6+S17+S25</f>
        <v>303480</v>
      </c>
      <c r="T31" s="831">
        <f>Q31/P31</f>
        <v>1.1214337821560456</v>
      </c>
      <c r="U31" s="373">
        <f>U6+U17+U25+U29+U35</f>
        <v>20835</v>
      </c>
      <c r="V31" s="302">
        <f>V6+V17+V25+V29+V35</f>
        <v>20835</v>
      </c>
      <c r="W31" s="302">
        <f>W6+W17+W25+W29+W30</f>
        <v>21668</v>
      </c>
      <c r="X31" s="302">
        <f>X6+X17+X25+X29+X30</f>
        <v>21668</v>
      </c>
      <c r="Y31" s="302">
        <f>Y6+Y17+Y25+Y29+Y30</f>
        <v>21668</v>
      </c>
      <c r="Z31" s="302">
        <f>Z6+Z17+Z25+Z29+Z30</f>
        <v>20984</v>
      </c>
      <c r="AA31" s="302">
        <f>AA6+AA17+AA25+AA29+AA30</f>
        <v>17414</v>
      </c>
      <c r="AB31" s="831"/>
      <c r="AC31" s="1086">
        <f>AC6+AC17+AC25+AC29+AC30</f>
        <v>0</v>
      </c>
    </row>
    <row r="32" spans="1:29" s="80" customFormat="1" ht="22.5" customHeight="1" thickBot="1">
      <c r="A32" s="93">
        <v>5</v>
      </c>
      <c r="B32" s="1134" t="s">
        <v>109</v>
      </c>
      <c r="C32" s="1134"/>
      <c r="D32" s="1134"/>
      <c r="E32" s="378">
        <f>SUM(E33:E35)</f>
        <v>185991</v>
      </c>
      <c r="F32" s="118">
        <f aca="true" t="shared" si="20" ref="F32:K32">SUM(F33:F36)</f>
        <v>194925</v>
      </c>
      <c r="G32" s="118">
        <f t="shared" si="20"/>
        <v>194294</v>
      </c>
      <c r="H32" s="118">
        <f t="shared" si="20"/>
        <v>194294</v>
      </c>
      <c r="I32" s="118">
        <f t="shared" si="20"/>
        <v>199022</v>
      </c>
      <c r="J32" s="118">
        <f t="shared" si="20"/>
        <v>177191</v>
      </c>
      <c r="K32" s="118">
        <f t="shared" si="20"/>
        <v>177191</v>
      </c>
      <c r="L32" s="825">
        <f>I32/H32</f>
        <v>1.0243342563331859</v>
      </c>
      <c r="M32" s="378">
        <f>SUM(M33:M35)</f>
        <v>185991</v>
      </c>
      <c r="N32" s="118">
        <f aca="true" t="shared" si="21" ref="N32:S32">SUM(N33:N36)</f>
        <v>194925</v>
      </c>
      <c r="O32" s="118">
        <f t="shared" si="21"/>
        <v>194294</v>
      </c>
      <c r="P32" s="118">
        <f t="shared" si="21"/>
        <v>194294</v>
      </c>
      <c r="Q32" s="118">
        <f t="shared" si="21"/>
        <v>199022</v>
      </c>
      <c r="R32" s="118">
        <f t="shared" si="21"/>
        <v>177191</v>
      </c>
      <c r="S32" s="118">
        <f t="shared" si="21"/>
        <v>177191</v>
      </c>
      <c r="T32" s="825">
        <f>Q32/P32</f>
        <v>1.0243342563331859</v>
      </c>
      <c r="U32" s="378">
        <f>SUM(U33:U35)</f>
        <v>0</v>
      </c>
      <c r="V32" s="118">
        <f>SUM(V33:V35)</f>
        <v>0</v>
      </c>
      <c r="W32" s="118"/>
      <c r="X32" s="118"/>
      <c r="Y32" s="118"/>
      <c r="Z32" s="118"/>
      <c r="AA32" s="118"/>
      <c r="AB32" s="825"/>
      <c r="AC32" s="1088"/>
    </row>
    <row r="33" spans="1:29" s="5" customFormat="1" ht="22.5" customHeight="1">
      <c r="A33" s="137"/>
      <c r="B33" s="119" t="s">
        <v>47</v>
      </c>
      <c r="C33" s="1180" t="s">
        <v>309</v>
      </c>
      <c r="D33" s="1180"/>
      <c r="E33" s="374"/>
      <c r="F33" s="304"/>
      <c r="G33" s="304"/>
      <c r="H33" s="304"/>
      <c r="I33" s="304"/>
      <c r="J33" s="304"/>
      <c r="K33" s="304"/>
      <c r="L33" s="836"/>
      <c r="M33" s="374"/>
      <c r="N33" s="304"/>
      <c r="O33" s="304"/>
      <c r="P33" s="304"/>
      <c r="Q33" s="304"/>
      <c r="R33" s="304"/>
      <c r="S33" s="304"/>
      <c r="T33" s="836"/>
      <c r="U33" s="374"/>
      <c r="V33" s="304"/>
      <c r="W33" s="304"/>
      <c r="X33" s="304"/>
      <c r="Y33" s="304"/>
      <c r="Z33" s="304"/>
      <c r="AA33" s="304"/>
      <c r="AB33" s="836"/>
      <c r="AC33" s="956"/>
    </row>
    <row r="34" spans="1:29" s="5" customFormat="1" ht="22.5" customHeight="1">
      <c r="A34" s="97"/>
      <c r="B34" s="106" t="s">
        <v>48</v>
      </c>
      <c r="C34" s="1150" t="s">
        <v>310</v>
      </c>
      <c r="D34" s="1150"/>
      <c r="E34" s="422"/>
      <c r="F34" s="423"/>
      <c r="G34" s="423"/>
      <c r="H34" s="423"/>
      <c r="I34" s="423"/>
      <c r="J34" s="423"/>
      <c r="K34" s="423"/>
      <c r="L34" s="1077"/>
      <c r="M34" s="422"/>
      <c r="N34" s="423"/>
      <c r="O34" s="423"/>
      <c r="P34" s="423"/>
      <c r="Q34" s="423"/>
      <c r="R34" s="423"/>
      <c r="S34" s="423"/>
      <c r="T34" s="1077"/>
      <c r="U34" s="422"/>
      <c r="V34" s="423"/>
      <c r="W34" s="423"/>
      <c r="X34" s="423"/>
      <c r="Y34" s="423"/>
      <c r="Z34" s="423"/>
      <c r="AA34" s="423"/>
      <c r="AB34" s="1077"/>
      <c r="AC34" s="959"/>
    </row>
    <row r="35" spans="1:29" s="5" customFormat="1" ht="22.5" customHeight="1" thickBot="1">
      <c r="A35" s="662"/>
      <c r="B35" s="663" t="s">
        <v>77</v>
      </c>
      <c r="C35" s="664" t="s">
        <v>308</v>
      </c>
      <c r="D35" s="664"/>
      <c r="E35" s="665">
        <v>185991</v>
      </c>
      <c r="F35" s="674">
        <v>185991</v>
      </c>
      <c r="G35" s="674">
        <f>185991+119-750</f>
        <v>185360</v>
      </c>
      <c r="H35" s="674">
        <f>185991+119-750</f>
        <v>185360</v>
      </c>
      <c r="I35" s="674">
        <f>185991+119-750+1638+1403+1687</f>
        <v>190088</v>
      </c>
      <c r="J35" s="674">
        <v>168257</v>
      </c>
      <c r="K35" s="674">
        <v>168257</v>
      </c>
      <c r="L35" s="836">
        <f>K35/J35</f>
        <v>1</v>
      </c>
      <c r="M35" s="665">
        <f aca="true" t="shared" si="22" ref="M35:S35">E35-U35</f>
        <v>185991</v>
      </c>
      <c r="N35" s="674">
        <f t="shared" si="22"/>
        <v>185991</v>
      </c>
      <c r="O35" s="674">
        <f t="shared" si="22"/>
        <v>185360</v>
      </c>
      <c r="P35" s="674">
        <f t="shared" si="22"/>
        <v>185360</v>
      </c>
      <c r="Q35" s="674">
        <f t="shared" si="22"/>
        <v>190088</v>
      </c>
      <c r="R35" s="674">
        <f t="shared" si="22"/>
        <v>168257</v>
      </c>
      <c r="S35" s="674">
        <f t="shared" si="22"/>
        <v>168257</v>
      </c>
      <c r="T35" s="836">
        <f>S35/R35</f>
        <v>1</v>
      </c>
      <c r="U35" s="665">
        <v>0</v>
      </c>
      <c r="V35" s="674">
        <v>0</v>
      </c>
      <c r="W35" s="674"/>
      <c r="X35" s="674"/>
      <c r="Y35" s="674"/>
      <c r="Z35" s="674"/>
      <c r="AA35" s="674"/>
      <c r="AB35" s="836"/>
      <c r="AC35" s="960"/>
    </row>
    <row r="36" spans="1:29" s="5" customFormat="1" ht="22.5" customHeight="1" thickBot="1">
      <c r="A36" s="662"/>
      <c r="B36" s="663" t="s">
        <v>511</v>
      </c>
      <c r="C36" s="664" t="s">
        <v>512</v>
      </c>
      <c r="D36" s="664"/>
      <c r="E36" s="665"/>
      <c r="F36" s="674">
        <v>8934</v>
      </c>
      <c r="G36" s="674">
        <v>8934</v>
      </c>
      <c r="H36" s="674">
        <v>8934</v>
      </c>
      <c r="I36" s="674">
        <v>8934</v>
      </c>
      <c r="J36" s="674">
        <v>8934</v>
      </c>
      <c r="K36" s="674">
        <v>8934</v>
      </c>
      <c r="L36" s="836">
        <f>K36/J36</f>
        <v>1</v>
      </c>
      <c r="M36" s="665"/>
      <c r="N36" s="674">
        <v>8934</v>
      </c>
      <c r="O36" s="674">
        <v>8934</v>
      </c>
      <c r="P36" s="674">
        <v>8934</v>
      </c>
      <c r="Q36" s="674">
        <v>8934</v>
      </c>
      <c r="R36" s="674">
        <f>J36</f>
        <v>8934</v>
      </c>
      <c r="S36" s="674">
        <f>K36</f>
        <v>8934</v>
      </c>
      <c r="T36" s="836">
        <f>S36/R36</f>
        <v>1</v>
      </c>
      <c r="U36" s="665"/>
      <c r="V36" s="674"/>
      <c r="W36" s="674"/>
      <c r="X36" s="674"/>
      <c r="Y36" s="674"/>
      <c r="Z36" s="674"/>
      <c r="AA36" s="674"/>
      <c r="AB36" s="836"/>
      <c r="AC36" s="960"/>
    </row>
    <row r="37" spans="1:29" s="5" customFormat="1" ht="22.5" customHeight="1" thickBot="1">
      <c r="A37" s="115" t="s">
        <v>13</v>
      </c>
      <c r="B37" s="1110" t="s">
        <v>256</v>
      </c>
      <c r="C37" s="1110"/>
      <c r="D37" s="1110"/>
      <c r="E37" s="375">
        <f aca="true" t="shared" si="23" ref="E37:J37">E31+E32</f>
        <v>549955</v>
      </c>
      <c r="F37" s="79">
        <f t="shared" si="23"/>
        <v>558105</v>
      </c>
      <c r="G37" s="79">
        <f t="shared" si="23"/>
        <v>566003</v>
      </c>
      <c r="H37" s="79">
        <f t="shared" si="23"/>
        <v>569628</v>
      </c>
      <c r="I37" s="79">
        <f t="shared" si="23"/>
        <v>617303</v>
      </c>
      <c r="J37" s="79">
        <f t="shared" si="23"/>
        <v>643642</v>
      </c>
      <c r="K37" s="79">
        <f>K31+K32</f>
        <v>498085</v>
      </c>
      <c r="L37" s="831">
        <f>K37/J37</f>
        <v>0.7738540990177769</v>
      </c>
      <c r="M37" s="375">
        <f aca="true" t="shared" si="24" ref="M37:R37">M31+M32</f>
        <v>529120</v>
      </c>
      <c r="N37" s="79">
        <f t="shared" si="24"/>
        <v>537270</v>
      </c>
      <c r="O37" s="79">
        <f t="shared" si="24"/>
        <v>544335</v>
      </c>
      <c r="P37" s="79">
        <f t="shared" si="24"/>
        <v>547960</v>
      </c>
      <c r="Q37" s="79">
        <f t="shared" si="24"/>
        <v>595635</v>
      </c>
      <c r="R37" s="79">
        <f t="shared" si="24"/>
        <v>622658</v>
      </c>
      <c r="S37" s="79">
        <f>S31+S32</f>
        <v>480671</v>
      </c>
      <c r="T37" s="831">
        <f>S37/R37</f>
        <v>0.7719663121649445</v>
      </c>
      <c r="U37" s="375">
        <f aca="true" t="shared" si="25" ref="U37:Z37">U31+U32</f>
        <v>20835</v>
      </c>
      <c r="V37" s="79">
        <f t="shared" si="25"/>
        <v>20835</v>
      </c>
      <c r="W37" s="79">
        <f t="shared" si="25"/>
        <v>21668</v>
      </c>
      <c r="X37" s="79">
        <f t="shared" si="25"/>
        <v>21668</v>
      </c>
      <c r="Y37" s="79">
        <f t="shared" si="25"/>
        <v>21668</v>
      </c>
      <c r="Z37" s="79">
        <f t="shared" si="25"/>
        <v>20984</v>
      </c>
      <c r="AA37" s="79">
        <f>AA31+AA32</f>
        <v>17414</v>
      </c>
      <c r="AB37" s="831">
        <f>AA37/Z37</f>
        <v>0.8298703774304231</v>
      </c>
      <c r="AC37" s="1090">
        <f>AC31+AC32</f>
        <v>0</v>
      </c>
    </row>
    <row r="38" spans="1:28" s="5" customFormat="1" ht="19.5" customHeight="1" hidden="1" thickBot="1">
      <c r="A38" s="1105" t="s">
        <v>257</v>
      </c>
      <c r="B38" s="1106"/>
      <c r="C38" s="1106"/>
      <c r="D38" s="1106"/>
      <c r="E38" s="602"/>
      <c r="F38" s="603"/>
      <c r="G38" s="603"/>
      <c r="H38" s="603"/>
      <c r="I38" s="603"/>
      <c r="J38" s="603"/>
      <c r="K38" s="603"/>
      <c r="L38" s="607" t="e">
        <f>I38/H38</f>
        <v>#DIV/0!</v>
      </c>
      <c r="M38" s="602"/>
      <c r="N38" s="603"/>
      <c r="O38" s="603"/>
      <c r="P38" s="603"/>
      <c r="Q38" s="603"/>
      <c r="R38" s="603"/>
      <c r="S38" s="603"/>
      <c r="T38" s="607" t="e">
        <f>Q38/P38</f>
        <v>#DIV/0!</v>
      </c>
      <c r="U38" s="602"/>
      <c r="V38" s="603"/>
      <c r="W38" s="603"/>
      <c r="X38" s="603"/>
      <c r="Y38" s="603"/>
      <c r="Z38" s="603"/>
      <c r="AA38" s="603"/>
      <c r="AB38" s="607" t="e">
        <f>Y38/X38</f>
        <v>#DIV/0!</v>
      </c>
    </row>
    <row r="39" spans="1:28" s="5" customFormat="1" ht="19.5" customHeight="1" thickBot="1">
      <c r="A39" s="1109" t="s">
        <v>8</v>
      </c>
      <c r="B39" s="1110"/>
      <c r="C39" s="1110"/>
      <c r="D39" s="1110"/>
      <c r="E39" s="426">
        <f aca="true" t="shared" si="26" ref="E39:J39">SUM(E37:E38)</f>
        <v>549955</v>
      </c>
      <c r="F39" s="427">
        <f t="shared" si="26"/>
        <v>558105</v>
      </c>
      <c r="G39" s="427">
        <f t="shared" si="26"/>
        <v>566003</v>
      </c>
      <c r="H39" s="427">
        <f t="shared" si="26"/>
        <v>569628</v>
      </c>
      <c r="I39" s="427">
        <f t="shared" si="26"/>
        <v>617303</v>
      </c>
      <c r="J39" s="427">
        <f t="shared" si="26"/>
        <v>643642</v>
      </c>
      <c r="K39" s="427">
        <f>SUM(K37:K38)</f>
        <v>498085</v>
      </c>
      <c r="L39" s="831">
        <f>K39/J39</f>
        <v>0.7738540990177769</v>
      </c>
      <c r="M39" s="426">
        <f aca="true" t="shared" si="27" ref="M39:R39">SUM(M37:M38)</f>
        <v>529120</v>
      </c>
      <c r="N39" s="427">
        <f t="shared" si="27"/>
        <v>537270</v>
      </c>
      <c r="O39" s="427">
        <f t="shared" si="27"/>
        <v>544335</v>
      </c>
      <c r="P39" s="427">
        <f t="shared" si="27"/>
        <v>547960</v>
      </c>
      <c r="Q39" s="427">
        <f t="shared" si="27"/>
        <v>595635</v>
      </c>
      <c r="R39" s="427">
        <f t="shared" si="27"/>
        <v>622658</v>
      </c>
      <c r="S39" s="427">
        <f>SUM(S37:S38)</f>
        <v>480671</v>
      </c>
      <c r="T39" s="831">
        <f>S39/R39</f>
        <v>0.7719663121649445</v>
      </c>
      <c r="U39" s="426">
        <f aca="true" t="shared" si="28" ref="U39:Z39">SUM(U37:U38)</f>
        <v>20835</v>
      </c>
      <c r="V39" s="427">
        <f t="shared" si="28"/>
        <v>20835</v>
      </c>
      <c r="W39" s="427">
        <f t="shared" si="28"/>
        <v>21668</v>
      </c>
      <c r="X39" s="427">
        <f t="shared" si="28"/>
        <v>21668</v>
      </c>
      <c r="Y39" s="427">
        <f t="shared" si="28"/>
        <v>21668</v>
      </c>
      <c r="Z39" s="427">
        <f t="shared" si="28"/>
        <v>20984</v>
      </c>
      <c r="AA39" s="427">
        <f>SUM(AA37:AA38)</f>
        <v>17414</v>
      </c>
      <c r="AB39" s="831">
        <f>AA39/Z39</f>
        <v>0.8298703774304231</v>
      </c>
    </row>
    <row r="40" spans="1:28" s="5" customFormat="1" ht="19.5" customHeight="1">
      <c r="A40" s="486"/>
      <c r="B40" s="608"/>
      <c r="C40" s="486"/>
      <c r="D40" s="486"/>
      <c r="E40" s="609"/>
      <c r="F40" s="609"/>
      <c r="G40" s="609"/>
      <c r="H40" s="609"/>
      <c r="I40" s="609"/>
      <c r="J40" s="609"/>
      <c r="K40" s="609"/>
      <c r="L40" s="609"/>
      <c r="M40" s="610"/>
      <c r="N40" s="610"/>
      <c r="O40" s="610"/>
      <c r="P40" s="610"/>
      <c r="Q40" s="610"/>
      <c r="R40" s="610"/>
      <c r="S40" s="610"/>
      <c r="T40" s="610"/>
      <c r="U40" s="610"/>
      <c r="V40" s="610"/>
      <c r="W40" s="611"/>
      <c r="X40" s="611"/>
      <c r="Y40" s="611"/>
      <c r="Z40" s="611"/>
      <c r="AA40" s="611"/>
      <c r="AB40" s="611"/>
    </row>
    <row r="41" spans="1:22" s="5" customFormat="1" ht="19.5" customHeight="1">
      <c r="A41" s="65"/>
      <c r="B41" s="68"/>
      <c r="C41" s="68"/>
      <c r="D41" s="30"/>
      <c r="E41" s="6"/>
      <c r="F41" s="6"/>
      <c r="G41" s="6"/>
      <c r="H41" s="6"/>
      <c r="I41" s="6"/>
      <c r="J41" s="6"/>
      <c r="K41" s="6"/>
      <c r="L41" s="6"/>
      <c r="M41" s="139"/>
      <c r="N41" s="139"/>
      <c r="O41" s="139"/>
      <c r="P41" s="139"/>
      <c r="Q41" s="139"/>
      <c r="R41" s="139"/>
      <c r="S41" s="139"/>
      <c r="T41" s="139">
        <f>T37+AC37</f>
        <v>0.7719663121649445</v>
      </c>
      <c r="U41" s="139"/>
      <c r="V41" s="139"/>
    </row>
    <row r="42" spans="1:12" ht="15.75">
      <c r="A42" s="124"/>
      <c r="B42" s="64"/>
      <c r="C42" s="64"/>
      <c r="D42" s="30"/>
      <c r="E42" s="4"/>
      <c r="F42" s="4"/>
      <c r="G42" s="4"/>
      <c r="H42" s="4"/>
      <c r="I42" s="4"/>
      <c r="J42" s="4"/>
      <c r="K42" s="4"/>
      <c r="L42" s="4"/>
    </row>
    <row r="43" spans="1:12" ht="15.75">
      <c r="A43" s="124"/>
      <c r="B43" s="64"/>
      <c r="C43" s="64"/>
      <c r="D43" s="30"/>
      <c r="E43" s="4"/>
      <c r="F43" s="4"/>
      <c r="G43" s="4"/>
      <c r="H43" s="4"/>
      <c r="I43" s="4"/>
      <c r="J43" s="4"/>
      <c r="K43" s="4"/>
      <c r="L43" s="4"/>
    </row>
    <row r="44" spans="1:22" ht="15.75">
      <c r="A44" s="124"/>
      <c r="B44" s="1"/>
      <c r="C44" s="1"/>
      <c r="D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>
      <c r="A45" s="124"/>
      <c r="B45" s="1"/>
      <c r="C45" s="1"/>
      <c r="D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>
      <c r="A46" s="124"/>
      <c r="B46" s="1"/>
      <c r="C46" s="1"/>
      <c r="D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>
      <c r="A47" s="124"/>
      <c r="B47" s="1"/>
      <c r="C47" s="1"/>
      <c r="D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>
      <c r="A48" s="124"/>
      <c r="B48" s="1"/>
      <c r="C48" s="1"/>
      <c r="D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>
      <c r="A49" s="124"/>
      <c r="B49" s="1"/>
      <c r="C49" s="1"/>
      <c r="D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>
      <c r="A50" s="124"/>
      <c r="B50" s="1"/>
      <c r="C50" s="1"/>
      <c r="D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12" ht="15.75">
      <c r="A51" s="124"/>
      <c r="B51" s="64"/>
      <c r="C51" s="64"/>
      <c r="D51" s="30"/>
      <c r="E51" s="3"/>
      <c r="F51" s="3"/>
      <c r="G51" s="3"/>
      <c r="H51" s="3"/>
      <c r="I51" s="3"/>
      <c r="J51" s="3"/>
      <c r="K51" s="3"/>
      <c r="L51" s="3"/>
    </row>
    <row r="52" spans="1:12" ht="15.75">
      <c r="A52" s="124"/>
      <c r="B52" s="64"/>
      <c r="C52" s="64"/>
      <c r="D52" s="30"/>
      <c r="E52" s="3"/>
      <c r="F52" s="3"/>
      <c r="G52" s="3"/>
      <c r="H52" s="3"/>
      <c r="I52" s="3"/>
      <c r="J52" s="3"/>
      <c r="K52" s="3"/>
      <c r="L52" s="3"/>
    </row>
    <row r="53" spans="1:12" ht="15.75">
      <c r="A53" s="124"/>
      <c r="B53" s="64"/>
      <c r="C53" s="64"/>
      <c r="D53" s="30"/>
      <c r="E53" s="3"/>
      <c r="F53" s="3"/>
      <c r="G53" s="3"/>
      <c r="H53" s="3"/>
      <c r="I53" s="3"/>
      <c r="J53" s="3"/>
      <c r="K53" s="3"/>
      <c r="L53" s="3"/>
    </row>
    <row r="54" spans="1:12" ht="15.75">
      <c r="A54" s="124"/>
      <c r="B54" s="64"/>
      <c r="C54" s="64"/>
      <c r="D54" s="30"/>
      <c r="E54" s="3"/>
      <c r="F54" s="3"/>
      <c r="G54" s="3"/>
      <c r="H54" s="3"/>
      <c r="I54" s="3"/>
      <c r="J54" s="3"/>
      <c r="K54" s="3"/>
      <c r="L54" s="3"/>
    </row>
    <row r="55" spans="1:12" ht="15.75">
      <c r="A55" s="124"/>
      <c r="B55" s="64"/>
      <c r="C55" s="64"/>
      <c r="D55" s="30"/>
      <c r="E55" s="3"/>
      <c r="F55" s="3"/>
      <c r="G55" s="3"/>
      <c r="H55" s="3"/>
      <c r="I55" s="3"/>
      <c r="J55" s="3"/>
      <c r="K55" s="3"/>
      <c r="L55" s="3"/>
    </row>
    <row r="56" spans="1:12" ht="15.75">
      <c r="A56" s="124"/>
      <c r="B56" s="64"/>
      <c r="C56" s="64"/>
      <c r="D56" s="30"/>
      <c r="E56" s="3"/>
      <c r="F56" s="3"/>
      <c r="G56" s="3"/>
      <c r="H56" s="3"/>
      <c r="I56" s="3"/>
      <c r="J56" s="3"/>
      <c r="K56" s="3"/>
      <c r="L56" s="3"/>
    </row>
    <row r="57" spans="1:12" ht="15.75">
      <c r="A57" s="124"/>
      <c r="B57" s="64"/>
      <c r="C57" s="64"/>
      <c r="D57" s="30"/>
      <c r="E57" s="3"/>
      <c r="F57" s="3"/>
      <c r="G57" s="3"/>
      <c r="H57" s="3"/>
      <c r="I57" s="3"/>
      <c r="J57" s="3"/>
      <c r="K57" s="3"/>
      <c r="L57" s="3"/>
    </row>
    <row r="58" spans="1:12" ht="15.75">
      <c r="A58" s="124"/>
      <c r="B58" s="64"/>
      <c r="C58" s="64"/>
      <c r="D58" s="30"/>
      <c r="E58" s="3"/>
      <c r="F58" s="3"/>
      <c r="G58" s="3"/>
      <c r="H58" s="3"/>
      <c r="I58" s="3"/>
      <c r="J58" s="3"/>
      <c r="K58" s="3"/>
      <c r="L58" s="3"/>
    </row>
    <row r="59" spans="1:12" ht="15.75">
      <c r="A59" s="124"/>
      <c r="B59" s="64"/>
      <c r="C59" s="64"/>
      <c r="D59" s="30"/>
      <c r="E59" s="3"/>
      <c r="F59" s="3"/>
      <c r="G59" s="3"/>
      <c r="H59" s="3"/>
      <c r="I59" s="3"/>
      <c r="J59" s="3"/>
      <c r="K59" s="3"/>
      <c r="L59" s="3"/>
    </row>
    <row r="60" spans="1:12" ht="15.75">
      <c r="A60" s="124"/>
      <c r="B60" s="64"/>
      <c r="C60" s="64"/>
      <c r="D60" s="30"/>
      <c r="E60" s="3"/>
      <c r="F60" s="3"/>
      <c r="G60" s="3"/>
      <c r="H60" s="3"/>
      <c r="I60" s="3"/>
      <c r="J60" s="3"/>
      <c r="K60" s="3"/>
      <c r="L60" s="3"/>
    </row>
  </sheetData>
  <sheetProtection/>
  <mergeCells count="20">
    <mergeCell ref="A38:D38"/>
    <mergeCell ref="A39:D39"/>
    <mergeCell ref="U4:AB4"/>
    <mergeCell ref="C26:D26"/>
    <mergeCell ref="B25:D25"/>
    <mergeCell ref="C19:D19"/>
    <mergeCell ref="C20:D20"/>
    <mergeCell ref="B17:D17"/>
    <mergeCell ref="B6:D6"/>
    <mergeCell ref="A4:D4"/>
    <mergeCell ref="A2:U2"/>
    <mergeCell ref="E1:U1"/>
    <mergeCell ref="B37:D37"/>
    <mergeCell ref="C27:D27"/>
    <mergeCell ref="B30:D30"/>
    <mergeCell ref="B31:D31"/>
    <mergeCell ref="B32:D32"/>
    <mergeCell ref="C33:D33"/>
    <mergeCell ref="C34:D34"/>
    <mergeCell ref="C18:D1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9"/>
  <sheetViews>
    <sheetView zoomScalePageLayoutView="0" workbookViewId="0" topLeftCell="A23">
      <selection activeCell="AF31" sqref="AF31:AF32"/>
    </sheetView>
  </sheetViews>
  <sheetFormatPr defaultColWidth="9.140625" defaultRowHeight="12.75"/>
  <cols>
    <col min="1" max="1" width="4.28125" style="228" customWidth="1"/>
    <col min="2" max="2" width="4.7109375" style="159" customWidth="1"/>
    <col min="3" max="3" width="45.421875" style="159" customWidth="1"/>
    <col min="4" max="4" width="8.7109375" style="159" bestFit="1" customWidth="1"/>
    <col min="5" max="8" width="8.28125" style="159" hidden="1" customWidth="1"/>
    <col min="9" max="9" width="8.28125" style="159" customWidth="1"/>
    <col min="10" max="10" width="9.8515625" style="159" customWidth="1"/>
    <col min="11" max="11" width="10.140625" style="159" customWidth="1"/>
    <col min="12" max="12" width="8.7109375" style="159" customWidth="1"/>
    <col min="13" max="15" width="8.28125" style="159" hidden="1" customWidth="1"/>
    <col min="16" max="16" width="10.28125" style="159" hidden="1" customWidth="1"/>
    <col min="17" max="17" width="10.28125" style="159" customWidth="1"/>
    <col min="18" max="19" width="9.8515625" style="159" customWidth="1"/>
    <col min="20" max="20" width="9.57421875" style="159" customWidth="1"/>
    <col min="21" max="21" width="6.57421875" style="159" hidden="1" customWidth="1"/>
    <col min="22" max="23" width="6.7109375" style="159" hidden="1" customWidth="1"/>
    <col min="24" max="24" width="10.00390625" style="159" hidden="1" customWidth="1"/>
    <col min="25" max="25" width="10.00390625" style="159" customWidth="1"/>
    <col min="26" max="27" width="9.140625" style="159" customWidth="1"/>
    <col min="28" max="28" width="9.140625" style="159" hidden="1" customWidth="1"/>
    <col min="29" max="29" width="9.140625" style="159" customWidth="1"/>
    <col min="30" max="32" width="9.57421875" style="159" bestFit="1" customWidth="1"/>
    <col min="33" max="33" width="9.140625" style="159" customWidth="1"/>
    <col min="34" max="34" width="10.421875" style="159" bestFit="1" customWidth="1"/>
    <col min="35" max="16384" width="9.140625" style="159" customWidth="1"/>
  </cols>
  <sheetData>
    <row r="1" spans="1:20" s="151" customFormat="1" ht="21" customHeight="1">
      <c r="A1" s="147"/>
      <c r="B1" s="148"/>
      <c r="C1" s="1182" t="s">
        <v>208</v>
      </c>
      <c r="D1" s="1182"/>
      <c r="E1" s="1182"/>
      <c r="F1" s="1182"/>
      <c r="G1" s="1182"/>
      <c r="H1" s="1182"/>
      <c r="I1" s="1182"/>
      <c r="J1" s="1182"/>
      <c r="K1" s="1182"/>
      <c r="L1" s="1182"/>
      <c r="M1" s="1182"/>
      <c r="N1" s="1182"/>
      <c r="O1" s="1182"/>
      <c r="P1" s="1182"/>
      <c r="Q1" s="1182"/>
      <c r="R1" s="1182"/>
      <c r="S1" s="1182"/>
      <c r="T1" s="1182"/>
    </row>
    <row r="2" spans="1:11" s="151" customFormat="1" ht="21" customHeight="1">
      <c r="A2" s="264"/>
      <c r="B2" s="148"/>
      <c r="C2" s="153"/>
      <c r="D2" s="152"/>
      <c r="E2" s="152"/>
      <c r="F2" s="152"/>
      <c r="G2" s="152"/>
      <c r="H2" s="152"/>
      <c r="I2" s="152"/>
      <c r="J2" s="152"/>
      <c r="K2" s="152"/>
    </row>
    <row r="3" spans="1:20" s="154" customFormat="1" ht="25.5" customHeight="1">
      <c r="A3" s="1185" t="s">
        <v>235</v>
      </c>
      <c r="B3" s="1185"/>
      <c r="C3" s="1185"/>
      <c r="D3" s="1185"/>
      <c r="E3" s="1185"/>
      <c r="F3" s="1185"/>
      <c r="G3" s="1185"/>
      <c r="H3" s="1185"/>
      <c r="I3" s="1185"/>
      <c r="J3" s="1185"/>
      <c r="K3" s="1185"/>
      <c r="L3" s="1185"/>
      <c r="M3" s="1185"/>
      <c r="N3" s="1185"/>
      <c r="O3" s="1185"/>
      <c r="P3" s="1185"/>
      <c r="Q3" s="1185"/>
      <c r="R3" s="1185"/>
      <c r="S3" s="1185"/>
      <c r="T3" s="1185"/>
    </row>
    <row r="4" spans="1:20" s="157" customFormat="1" ht="15.75" customHeight="1" thickBot="1">
      <c r="A4" s="155"/>
      <c r="B4" s="155"/>
      <c r="C4" s="155"/>
      <c r="T4" s="156" t="s">
        <v>62</v>
      </c>
    </row>
    <row r="5" spans="1:27" ht="36.75" customHeight="1" thickBot="1">
      <c r="A5" s="1183" t="s">
        <v>113</v>
      </c>
      <c r="B5" s="1184"/>
      <c r="C5" s="158" t="s">
        <v>114</v>
      </c>
      <c r="D5" s="1187" t="s">
        <v>5</v>
      </c>
      <c r="E5" s="1188"/>
      <c r="F5" s="1188"/>
      <c r="G5" s="1188"/>
      <c r="H5" s="1188"/>
      <c r="I5" s="1188"/>
      <c r="J5" s="1188"/>
      <c r="K5" s="1188"/>
      <c r="L5" s="1189" t="s">
        <v>111</v>
      </c>
      <c r="M5" s="1190"/>
      <c r="N5" s="1190"/>
      <c r="O5" s="1190"/>
      <c r="P5" s="1190"/>
      <c r="Q5" s="1187"/>
      <c r="R5" s="1187"/>
      <c r="S5" s="215"/>
      <c r="T5" s="1189" t="s">
        <v>159</v>
      </c>
      <c r="U5" s="1190"/>
      <c r="V5" s="1190"/>
      <c r="W5" s="1190"/>
      <c r="X5" s="1190"/>
      <c r="Y5" s="1190"/>
      <c r="Z5" s="1190"/>
      <c r="AA5" s="1191"/>
    </row>
    <row r="6" spans="1:28" ht="24.75" thickBot="1">
      <c r="A6" s="324"/>
      <c r="B6" s="325"/>
      <c r="C6" s="158"/>
      <c r="D6" s="158" t="s">
        <v>247</v>
      </c>
      <c r="E6" s="158" t="s">
        <v>245</v>
      </c>
      <c r="F6" s="158" t="s">
        <v>248</v>
      </c>
      <c r="G6" s="158" t="s">
        <v>251</v>
      </c>
      <c r="H6" s="158" t="s">
        <v>267</v>
      </c>
      <c r="I6" s="158" t="s">
        <v>271</v>
      </c>
      <c r="J6" s="158" t="s">
        <v>254</v>
      </c>
      <c r="K6" s="488" t="s">
        <v>255</v>
      </c>
      <c r="L6" s="517" t="s">
        <v>247</v>
      </c>
      <c r="M6" s="158" t="s">
        <v>245</v>
      </c>
      <c r="N6" s="158" t="s">
        <v>248</v>
      </c>
      <c r="O6" s="158" t="s">
        <v>251</v>
      </c>
      <c r="P6" s="158" t="s">
        <v>267</v>
      </c>
      <c r="Q6" s="158" t="s">
        <v>271</v>
      </c>
      <c r="R6" s="158" t="s">
        <v>254</v>
      </c>
      <c r="S6" s="488" t="s">
        <v>255</v>
      </c>
      <c r="T6" s="517" t="s">
        <v>247</v>
      </c>
      <c r="U6" s="158" t="s">
        <v>245</v>
      </c>
      <c r="V6" s="158" t="s">
        <v>248</v>
      </c>
      <c r="W6" s="158" t="s">
        <v>251</v>
      </c>
      <c r="X6" s="158" t="s">
        <v>267</v>
      </c>
      <c r="Y6" s="158" t="s">
        <v>271</v>
      </c>
      <c r="Z6" s="158" t="s">
        <v>254</v>
      </c>
      <c r="AA6" s="488" t="s">
        <v>255</v>
      </c>
      <c r="AB6" s="158" t="s">
        <v>271</v>
      </c>
    </row>
    <row r="7" spans="1:28" s="163" customFormat="1" ht="12.75" customHeight="1" thickBot="1">
      <c r="A7" s="160">
        <v>1</v>
      </c>
      <c r="B7" s="161">
        <v>2</v>
      </c>
      <c r="C7" s="161">
        <v>3</v>
      </c>
      <c r="D7" s="161">
        <v>4</v>
      </c>
      <c r="E7" s="161">
        <v>5</v>
      </c>
      <c r="F7" s="161">
        <v>6</v>
      </c>
      <c r="G7" s="161">
        <v>7</v>
      </c>
      <c r="H7" s="161">
        <v>8</v>
      </c>
      <c r="I7" s="161">
        <v>5</v>
      </c>
      <c r="J7" s="161">
        <v>6</v>
      </c>
      <c r="K7" s="162">
        <v>7</v>
      </c>
      <c r="L7" s="160">
        <v>8</v>
      </c>
      <c r="M7" s="161">
        <v>11</v>
      </c>
      <c r="N7" s="161">
        <v>12</v>
      </c>
      <c r="O7" s="161">
        <v>13</v>
      </c>
      <c r="P7" s="161">
        <v>14</v>
      </c>
      <c r="Q7" s="317">
        <v>9</v>
      </c>
      <c r="R7" s="317">
        <v>10</v>
      </c>
      <c r="S7" s="214">
        <v>11</v>
      </c>
      <c r="T7" s="160">
        <v>12</v>
      </c>
      <c r="U7" s="161">
        <v>17</v>
      </c>
      <c r="V7" s="161">
        <v>18</v>
      </c>
      <c r="W7" s="161">
        <v>19</v>
      </c>
      <c r="X7" s="161">
        <v>20</v>
      </c>
      <c r="Y7" s="161">
        <v>13</v>
      </c>
      <c r="Z7" s="161">
        <v>14</v>
      </c>
      <c r="AA7" s="162">
        <v>15</v>
      </c>
      <c r="AB7" s="161"/>
    </row>
    <row r="8" spans="1:28" s="163" customFormat="1" ht="15.75" customHeight="1" thickBot="1">
      <c r="A8" s="164"/>
      <c r="B8" s="165"/>
      <c r="C8" s="165" t="s">
        <v>115</v>
      </c>
      <c r="D8" s="294"/>
      <c r="E8" s="294"/>
      <c r="F8" s="230"/>
      <c r="G8" s="230"/>
      <c r="H8" s="230"/>
      <c r="I8" s="230"/>
      <c r="J8" s="230"/>
      <c r="K8" s="295"/>
      <c r="L8" s="494"/>
      <c r="M8" s="294"/>
      <c r="N8" s="230"/>
      <c r="O8" s="230"/>
      <c r="P8" s="230"/>
      <c r="Q8" s="318"/>
      <c r="R8" s="318"/>
      <c r="S8" s="990"/>
      <c r="T8" s="494"/>
      <c r="U8" s="494"/>
      <c r="V8" s="230"/>
      <c r="W8" s="230"/>
      <c r="X8" s="230"/>
      <c r="Y8" s="230"/>
      <c r="Z8" s="230"/>
      <c r="AA8" s="295"/>
      <c r="AB8" s="230"/>
    </row>
    <row r="9" spans="1:28" s="169" customFormat="1" ht="12" customHeight="1" thickBot="1">
      <c r="A9" s="160" t="s">
        <v>30</v>
      </c>
      <c r="B9" s="166"/>
      <c r="C9" s="167" t="s">
        <v>369</v>
      </c>
      <c r="D9" s="231"/>
      <c r="E9" s="231"/>
      <c r="F9" s="231">
        <v>149</v>
      </c>
      <c r="G9" s="231">
        <f>149+76</f>
        <v>225</v>
      </c>
      <c r="H9" s="231">
        <f>225+3</f>
        <v>228</v>
      </c>
      <c r="I9" s="926">
        <v>107</v>
      </c>
      <c r="J9" s="926">
        <v>95</v>
      </c>
      <c r="K9" s="815">
        <f aca="true" t="shared" si="0" ref="K9:K26">J9/I9</f>
        <v>0.8878504672897196</v>
      </c>
      <c r="L9" s="495"/>
      <c r="M9" s="231"/>
      <c r="N9" s="231">
        <v>149</v>
      </c>
      <c r="O9" s="231">
        <f>149+76</f>
        <v>225</v>
      </c>
      <c r="P9" s="231">
        <f>225+3</f>
        <v>228</v>
      </c>
      <c r="Q9" s="926">
        <v>107</v>
      </c>
      <c r="R9" s="926">
        <v>95</v>
      </c>
      <c r="S9" s="815">
        <f aca="true" t="shared" si="1" ref="S9:S26">R9/Q9</f>
        <v>0.8878504672897196</v>
      </c>
      <c r="T9" s="495"/>
      <c r="U9" s="495"/>
      <c r="V9" s="231"/>
      <c r="W9" s="231"/>
      <c r="X9" s="231"/>
      <c r="Y9" s="231"/>
      <c r="Z9" s="231"/>
      <c r="AA9" s="168"/>
      <c r="AB9" s="231"/>
    </row>
    <row r="10" spans="1:28" s="175" customFormat="1" ht="12" customHeight="1" hidden="1" thickBot="1">
      <c r="A10" s="176" t="s">
        <v>31</v>
      </c>
      <c r="B10" s="177"/>
      <c r="C10" s="178" t="s">
        <v>121</v>
      </c>
      <c r="D10" s="241"/>
      <c r="E10" s="241"/>
      <c r="F10" s="241"/>
      <c r="G10" s="241"/>
      <c r="H10" s="241"/>
      <c r="I10" s="950"/>
      <c r="J10" s="950"/>
      <c r="K10" s="993" t="e">
        <f t="shared" si="0"/>
        <v>#DIV/0!</v>
      </c>
      <c r="L10" s="496"/>
      <c r="M10" s="241"/>
      <c r="N10" s="241"/>
      <c r="O10" s="241"/>
      <c r="P10" s="241"/>
      <c r="Q10" s="950"/>
      <c r="R10" s="950"/>
      <c r="S10" s="993" t="e">
        <f t="shared" si="1"/>
        <v>#DIV/0!</v>
      </c>
      <c r="T10" s="496"/>
      <c r="U10" s="496"/>
      <c r="V10" s="241"/>
      <c r="W10" s="241"/>
      <c r="X10" s="241"/>
      <c r="Y10" s="241"/>
      <c r="Z10" s="241"/>
      <c r="AA10" s="296"/>
      <c r="AB10" s="241"/>
    </row>
    <row r="11" spans="1:28" s="169" customFormat="1" ht="12" customHeight="1" thickBot="1">
      <c r="A11" s="160" t="s">
        <v>31</v>
      </c>
      <c r="B11" s="166"/>
      <c r="C11" s="167" t="s">
        <v>122</v>
      </c>
      <c r="D11" s="231">
        <f aca="true" t="shared" si="2" ref="D11:I11">SUM(D12:D15)</f>
        <v>0</v>
      </c>
      <c r="E11" s="231">
        <f t="shared" si="2"/>
        <v>0</v>
      </c>
      <c r="F11" s="231">
        <f t="shared" si="2"/>
        <v>0</v>
      </c>
      <c r="G11" s="231">
        <f t="shared" si="2"/>
        <v>0</v>
      </c>
      <c r="H11" s="231">
        <f t="shared" si="2"/>
        <v>0</v>
      </c>
      <c r="I11" s="926">
        <f t="shared" si="2"/>
        <v>137</v>
      </c>
      <c r="J11" s="926">
        <f>SUM(J12:J15)</f>
        <v>137</v>
      </c>
      <c r="K11" s="815">
        <f t="shared" si="0"/>
        <v>1</v>
      </c>
      <c r="L11" s="495">
        <f aca="true" t="shared" si="3" ref="L11:R11">SUM(L12:L15)</f>
        <v>0</v>
      </c>
      <c r="M11" s="231">
        <f t="shared" si="3"/>
        <v>0</v>
      </c>
      <c r="N11" s="231">
        <f t="shared" si="3"/>
        <v>0</v>
      </c>
      <c r="O11" s="231">
        <f t="shared" si="3"/>
        <v>0</v>
      </c>
      <c r="P11" s="231">
        <f t="shared" si="3"/>
        <v>0</v>
      </c>
      <c r="Q11" s="926">
        <f t="shared" si="3"/>
        <v>137</v>
      </c>
      <c r="R11" s="926">
        <f t="shared" si="3"/>
        <v>137</v>
      </c>
      <c r="S11" s="815">
        <f t="shared" si="1"/>
        <v>1</v>
      </c>
      <c r="T11" s="495"/>
      <c r="U11" s="495"/>
      <c r="V11" s="231"/>
      <c r="W11" s="231"/>
      <c r="X11" s="231"/>
      <c r="Y11" s="231"/>
      <c r="Z11" s="231"/>
      <c r="AA11" s="168"/>
      <c r="AB11" s="231"/>
    </row>
    <row r="12" spans="1:32" s="175" customFormat="1" ht="12" customHeight="1">
      <c r="A12" s="172"/>
      <c r="B12" s="171" t="s">
        <v>42</v>
      </c>
      <c r="C12" s="179" t="s">
        <v>78</v>
      </c>
      <c r="D12" s="232"/>
      <c r="E12" s="232"/>
      <c r="F12" s="232"/>
      <c r="G12" s="232"/>
      <c r="H12" s="232"/>
      <c r="I12" s="927">
        <v>137</v>
      </c>
      <c r="J12" s="927">
        <v>137</v>
      </c>
      <c r="K12" s="994">
        <f t="shared" si="0"/>
        <v>1</v>
      </c>
      <c r="L12" s="497"/>
      <c r="M12" s="232"/>
      <c r="N12" s="232"/>
      <c r="O12" s="232"/>
      <c r="P12" s="232"/>
      <c r="Q12" s="927">
        <v>137</v>
      </c>
      <c r="R12" s="927">
        <v>137</v>
      </c>
      <c r="S12" s="994">
        <f t="shared" si="1"/>
        <v>1</v>
      </c>
      <c r="T12" s="497"/>
      <c r="U12" s="497"/>
      <c r="V12" s="232"/>
      <c r="W12" s="232"/>
      <c r="X12" s="232"/>
      <c r="Y12" s="232"/>
      <c r="Z12" s="232"/>
      <c r="AA12" s="174"/>
      <c r="AB12" s="232"/>
      <c r="AD12" s="169"/>
      <c r="AE12" s="169"/>
      <c r="AF12" s="169"/>
    </row>
    <row r="13" spans="1:28" s="175" customFormat="1" ht="12" customHeight="1">
      <c r="A13" s="172"/>
      <c r="B13" s="171" t="s">
        <v>43</v>
      </c>
      <c r="C13" s="173" t="s">
        <v>125</v>
      </c>
      <c r="D13" s="232"/>
      <c r="E13" s="232"/>
      <c r="F13" s="232"/>
      <c r="G13" s="232"/>
      <c r="H13" s="232"/>
      <c r="I13" s="927"/>
      <c r="J13" s="927"/>
      <c r="K13" s="843"/>
      <c r="L13" s="497"/>
      <c r="M13" s="232"/>
      <c r="N13" s="232"/>
      <c r="O13" s="232"/>
      <c r="P13" s="232"/>
      <c r="Q13" s="927"/>
      <c r="R13" s="927"/>
      <c r="S13" s="843"/>
      <c r="T13" s="497"/>
      <c r="U13" s="497"/>
      <c r="V13" s="232"/>
      <c r="W13" s="232"/>
      <c r="X13" s="232"/>
      <c r="Y13" s="232"/>
      <c r="Z13" s="232"/>
      <c r="AA13" s="174"/>
      <c r="AB13" s="232"/>
    </row>
    <row r="14" spans="1:28" s="175" customFormat="1" ht="12" customHeight="1">
      <c r="A14" s="172"/>
      <c r="B14" s="171" t="s">
        <v>44</v>
      </c>
      <c r="C14" s="173" t="s">
        <v>79</v>
      </c>
      <c r="D14" s="232"/>
      <c r="E14" s="232"/>
      <c r="F14" s="232"/>
      <c r="G14" s="232"/>
      <c r="H14" s="232"/>
      <c r="I14" s="927"/>
      <c r="J14" s="927"/>
      <c r="K14" s="843"/>
      <c r="L14" s="497"/>
      <c r="M14" s="232"/>
      <c r="N14" s="232"/>
      <c r="O14" s="232"/>
      <c r="P14" s="232"/>
      <c r="Q14" s="927"/>
      <c r="R14" s="927"/>
      <c r="S14" s="843"/>
      <c r="T14" s="497"/>
      <c r="U14" s="497"/>
      <c r="V14" s="232"/>
      <c r="W14" s="232"/>
      <c r="X14" s="232"/>
      <c r="Y14" s="232"/>
      <c r="Z14" s="232"/>
      <c r="AA14" s="174"/>
      <c r="AB14" s="232"/>
    </row>
    <row r="15" spans="1:28" s="175" customFormat="1" ht="15.75" customHeight="1" thickBot="1">
      <c r="A15" s="172"/>
      <c r="B15" s="171" t="s">
        <v>298</v>
      </c>
      <c r="C15" s="173" t="s">
        <v>125</v>
      </c>
      <c r="D15" s="232"/>
      <c r="E15" s="232"/>
      <c r="F15" s="232"/>
      <c r="G15" s="232"/>
      <c r="H15" s="232"/>
      <c r="I15" s="927"/>
      <c r="J15" s="927"/>
      <c r="K15" s="843"/>
      <c r="L15" s="497"/>
      <c r="M15" s="232"/>
      <c r="N15" s="232"/>
      <c r="O15" s="232"/>
      <c r="P15" s="232"/>
      <c r="Q15" s="927"/>
      <c r="R15" s="927"/>
      <c r="S15" s="843"/>
      <c r="T15" s="497"/>
      <c r="U15" s="497"/>
      <c r="V15" s="232"/>
      <c r="W15" s="232"/>
      <c r="X15" s="232"/>
      <c r="Y15" s="232"/>
      <c r="Z15" s="232"/>
      <c r="AA15" s="174"/>
      <c r="AB15" s="232"/>
    </row>
    <row r="16" spans="1:28" s="175" customFormat="1" ht="12" customHeight="1" thickBot="1">
      <c r="A16" s="180" t="s">
        <v>10</v>
      </c>
      <c r="B16" s="181"/>
      <c r="C16" s="181" t="s">
        <v>128</v>
      </c>
      <c r="D16" s="231">
        <f>SUM(D17:D18)</f>
        <v>0</v>
      </c>
      <c r="E16" s="231">
        <f>SUM(E17:E18)</f>
        <v>0</v>
      </c>
      <c r="F16" s="231">
        <f>SUM(F17:F18)</f>
        <v>0</v>
      </c>
      <c r="G16" s="231">
        <f>SUM(G17:G18)</f>
        <v>0</v>
      </c>
      <c r="H16" s="231">
        <f>SUM(H17:H18)</f>
        <v>0</v>
      </c>
      <c r="I16" s="926"/>
      <c r="J16" s="926"/>
      <c r="K16" s="926"/>
      <c r="L16" s="495">
        <f>SUM(L17:L18)</f>
        <v>0</v>
      </c>
      <c r="M16" s="231">
        <f>SUM(M17:M18)</f>
        <v>0</v>
      </c>
      <c r="N16" s="231">
        <f>SUM(N17:N18)</f>
        <v>0</v>
      </c>
      <c r="O16" s="231">
        <f>SUM(O17:O18)</f>
        <v>0</v>
      </c>
      <c r="P16" s="231">
        <f>SUM(P17:P18)</f>
        <v>0</v>
      </c>
      <c r="Q16" s="926"/>
      <c r="R16" s="926"/>
      <c r="S16" s="926"/>
      <c r="T16" s="495"/>
      <c r="U16" s="495"/>
      <c r="V16" s="231"/>
      <c r="W16" s="231"/>
      <c r="X16" s="231"/>
      <c r="Y16" s="231"/>
      <c r="Z16" s="231"/>
      <c r="AA16" s="168"/>
      <c r="AB16" s="231"/>
    </row>
    <row r="17" spans="1:28" s="169" customFormat="1" ht="12" customHeight="1">
      <c r="A17" s="182"/>
      <c r="B17" s="183" t="s">
        <v>45</v>
      </c>
      <c r="C17" s="184" t="s">
        <v>130</v>
      </c>
      <c r="D17" s="233"/>
      <c r="E17" s="233"/>
      <c r="F17" s="233"/>
      <c r="G17" s="233"/>
      <c r="H17" s="233"/>
      <c r="I17" s="928"/>
      <c r="J17" s="928"/>
      <c r="K17" s="843"/>
      <c r="L17" s="498"/>
      <c r="M17" s="233"/>
      <c r="N17" s="233"/>
      <c r="O17" s="233"/>
      <c r="P17" s="233"/>
      <c r="Q17" s="928"/>
      <c r="R17" s="928"/>
      <c r="S17" s="843"/>
      <c r="T17" s="498"/>
      <c r="U17" s="498"/>
      <c r="V17" s="233"/>
      <c r="W17" s="233"/>
      <c r="X17" s="233"/>
      <c r="Y17" s="233"/>
      <c r="Z17" s="233"/>
      <c r="AA17" s="185"/>
      <c r="AB17" s="233"/>
    </row>
    <row r="18" spans="1:28" s="169" customFormat="1" ht="12" customHeight="1" thickBot="1">
      <c r="A18" s="186"/>
      <c r="B18" s="187" t="s">
        <v>46</v>
      </c>
      <c r="C18" s="188" t="s">
        <v>132</v>
      </c>
      <c r="D18" s="234"/>
      <c r="E18" s="234"/>
      <c r="F18" s="234"/>
      <c r="G18" s="234"/>
      <c r="H18" s="234"/>
      <c r="I18" s="929"/>
      <c r="J18" s="929"/>
      <c r="K18" s="843"/>
      <c r="L18" s="499"/>
      <c r="M18" s="234"/>
      <c r="N18" s="234"/>
      <c r="O18" s="234"/>
      <c r="P18" s="234"/>
      <c r="Q18" s="929"/>
      <c r="R18" s="929"/>
      <c r="S18" s="843"/>
      <c r="T18" s="499"/>
      <c r="U18" s="499"/>
      <c r="V18" s="234"/>
      <c r="W18" s="234"/>
      <c r="X18" s="234"/>
      <c r="Y18" s="234"/>
      <c r="Z18" s="234"/>
      <c r="AA18" s="189"/>
      <c r="AB18" s="234"/>
    </row>
    <row r="19" spans="1:28" s="169" customFormat="1" ht="12" customHeight="1" hidden="1" thickBot="1">
      <c r="A19" s="180" t="s">
        <v>11</v>
      </c>
      <c r="B19" s="166"/>
      <c r="D19" s="235"/>
      <c r="E19" s="235"/>
      <c r="F19" s="235"/>
      <c r="G19" s="235"/>
      <c r="H19" s="235"/>
      <c r="I19" s="930"/>
      <c r="J19" s="930"/>
      <c r="K19" s="991" t="e">
        <f t="shared" si="0"/>
        <v>#DIV/0!</v>
      </c>
      <c r="L19" s="500"/>
      <c r="M19" s="235"/>
      <c r="N19" s="235"/>
      <c r="O19" s="235"/>
      <c r="P19" s="235"/>
      <c r="Q19" s="930"/>
      <c r="R19" s="930"/>
      <c r="S19" s="991" t="e">
        <f t="shared" si="1"/>
        <v>#DIV/0!</v>
      </c>
      <c r="T19" s="500"/>
      <c r="U19" s="500"/>
      <c r="V19" s="235"/>
      <c r="W19" s="235"/>
      <c r="X19" s="235"/>
      <c r="Y19" s="235"/>
      <c r="Z19" s="235"/>
      <c r="AA19" s="190"/>
      <c r="AB19" s="235"/>
    </row>
    <row r="20" spans="1:28" s="169" customFormat="1" ht="12" customHeight="1" thickBot="1">
      <c r="A20" s="160" t="s">
        <v>11</v>
      </c>
      <c r="B20" s="191"/>
      <c r="C20" s="181" t="s">
        <v>134</v>
      </c>
      <c r="D20" s="290">
        <f aca="true" t="shared" si="4" ref="D20:I20">D9+D10+D11+D16+D19</f>
        <v>0</v>
      </c>
      <c r="E20" s="290">
        <f t="shared" si="4"/>
        <v>0</v>
      </c>
      <c r="F20" s="290">
        <f t="shared" si="4"/>
        <v>149</v>
      </c>
      <c r="G20" s="290">
        <f t="shared" si="4"/>
        <v>225</v>
      </c>
      <c r="H20" s="290">
        <f t="shared" si="4"/>
        <v>228</v>
      </c>
      <c r="I20" s="290">
        <f t="shared" si="4"/>
        <v>244</v>
      </c>
      <c r="J20" s="290">
        <f>J9+J10+J11+J16+J19</f>
        <v>232</v>
      </c>
      <c r="K20" s="815">
        <f t="shared" si="0"/>
        <v>0.9508196721311475</v>
      </c>
      <c r="L20" s="290">
        <f aca="true" t="shared" si="5" ref="L20:R20">L9+L10+L11+L16+L19</f>
        <v>0</v>
      </c>
      <c r="M20" s="290">
        <f t="shared" si="5"/>
        <v>0</v>
      </c>
      <c r="N20" s="290">
        <f t="shared" si="5"/>
        <v>149</v>
      </c>
      <c r="O20" s="290">
        <f t="shared" si="5"/>
        <v>225</v>
      </c>
      <c r="P20" s="290">
        <f t="shared" si="5"/>
        <v>228</v>
      </c>
      <c r="Q20" s="290">
        <f t="shared" si="5"/>
        <v>244</v>
      </c>
      <c r="R20" s="290">
        <f t="shared" si="5"/>
        <v>232</v>
      </c>
      <c r="S20" s="815">
        <f t="shared" si="1"/>
        <v>0.9508196721311475</v>
      </c>
      <c r="T20" s="495"/>
      <c r="U20" s="495"/>
      <c r="V20" s="231"/>
      <c r="W20" s="231"/>
      <c r="X20" s="231"/>
      <c r="Y20" s="231"/>
      <c r="Z20" s="231"/>
      <c r="AA20" s="168"/>
      <c r="AB20" s="231"/>
    </row>
    <row r="21" spans="1:31" s="175" customFormat="1" ht="12" customHeight="1" thickBot="1">
      <c r="A21" s="192" t="s">
        <v>12</v>
      </c>
      <c r="B21" s="193"/>
      <c r="C21" s="194" t="s">
        <v>135</v>
      </c>
      <c r="D21" s="291">
        <f aca="true" t="shared" si="6" ref="D21:I21">SUM(D22:D24)</f>
        <v>101560</v>
      </c>
      <c r="E21" s="291">
        <f t="shared" si="6"/>
        <v>101560</v>
      </c>
      <c r="F21" s="291">
        <f t="shared" si="6"/>
        <v>101560</v>
      </c>
      <c r="G21" s="291">
        <f t="shared" si="6"/>
        <v>101560</v>
      </c>
      <c r="H21" s="291">
        <f t="shared" si="6"/>
        <v>103078</v>
      </c>
      <c r="I21" s="291">
        <f t="shared" si="6"/>
        <v>92990</v>
      </c>
      <c r="J21" s="291">
        <f>SUM(J22:J24)</f>
        <v>92990</v>
      </c>
      <c r="K21" s="815">
        <f t="shared" si="0"/>
        <v>1</v>
      </c>
      <c r="L21" s="291">
        <f aca="true" t="shared" si="7" ref="L21:R21">SUM(L22:L24)</f>
        <v>101560</v>
      </c>
      <c r="M21" s="291">
        <f t="shared" si="7"/>
        <v>101560</v>
      </c>
      <c r="N21" s="291">
        <f t="shared" si="7"/>
        <v>101560</v>
      </c>
      <c r="O21" s="291">
        <f t="shared" si="7"/>
        <v>101560</v>
      </c>
      <c r="P21" s="291">
        <f t="shared" si="7"/>
        <v>103078</v>
      </c>
      <c r="Q21" s="291">
        <f t="shared" si="7"/>
        <v>92990</v>
      </c>
      <c r="R21" s="291">
        <f t="shared" si="7"/>
        <v>92990</v>
      </c>
      <c r="S21" s="815">
        <f t="shared" si="1"/>
        <v>1</v>
      </c>
      <c r="T21" s="291">
        <f aca="true" t="shared" si="8" ref="T21:Z21">SUM(T22:T24)</f>
        <v>6883</v>
      </c>
      <c r="U21" s="291">
        <f t="shared" si="8"/>
        <v>6883</v>
      </c>
      <c r="V21" s="291">
        <f t="shared" si="8"/>
        <v>6883</v>
      </c>
      <c r="W21" s="291">
        <f t="shared" si="8"/>
        <v>6883</v>
      </c>
      <c r="X21" s="291">
        <f t="shared" si="8"/>
        <v>6883</v>
      </c>
      <c r="Y21" s="291">
        <f t="shared" si="8"/>
        <v>6883</v>
      </c>
      <c r="Z21" s="291">
        <f t="shared" si="8"/>
        <v>6887</v>
      </c>
      <c r="AA21" s="412">
        <f>Z21/Y21</f>
        <v>1.00058114194392</v>
      </c>
      <c r="AB21" s="231"/>
      <c r="AE21" s="169"/>
    </row>
    <row r="22" spans="1:28" s="175" customFormat="1" ht="15" customHeight="1" thickBot="1">
      <c r="A22" s="170"/>
      <c r="B22" s="195" t="s">
        <v>47</v>
      </c>
      <c r="C22" s="184" t="s">
        <v>137</v>
      </c>
      <c r="D22" s="233">
        <v>1052</v>
      </c>
      <c r="E22" s="233">
        <v>1052</v>
      </c>
      <c r="F22" s="233">
        <v>1052</v>
      </c>
      <c r="G22" s="233">
        <v>1052</v>
      </c>
      <c r="H22" s="233">
        <f>1052+115</f>
        <v>1167</v>
      </c>
      <c r="I22" s="233">
        <v>1053</v>
      </c>
      <c r="J22" s="233">
        <v>1053</v>
      </c>
      <c r="K22" s="994">
        <f t="shared" si="0"/>
        <v>1</v>
      </c>
      <c r="L22" s="233">
        <v>1052</v>
      </c>
      <c r="M22" s="233">
        <v>1052</v>
      </c>
      <c r="N22" s="233">
        <v>1052</v>
      </c>
      <c r="O22" s="233">
        <v>1052</v>
      </c>
      <c r="P22" s="233">
        <f>1052+115</f>
        <v>1167</v>
      </c>
      <c r="Q22" s="233">
        <v>1053</v>
      </c>
      <c r="R22" s="233">
        <v>1053</v>
      </c>
      <c r="S22" s="994">
        <f t="shared" si="1"/>
        <v>1</v>
      </c>
      <c r="T22" s="233"/>
      <c r="U22" s="233"/>
      <c r="V22" s="233"/>
      <c r="W22" s="233"/>
      <c r="X22" s="233"/>
      <c r="Y22" s="233"/>
      <c r="Z22" s="233"/>
      <c r="AA22" s="292"/>
      <c r="AB22" s="505"/>
    </row>
    <row r="23" spans="1:31" s="175" customFormat="1" ht="15" customHeight="1">
      <c r="A23" s="648"/>
      <c r="B23" s="649" t="s">
        <v>48</v>
      </c>
      <c r="C23" s="527" t="s">
        <v>301</v>
      </c>
      <c r="D23" s="651">
        <v>100508</v>
      </c>
      <c r="E23" s="651">
        <v>100508</v>
      </c>
      <c r="F23" s="651">
        <v>100508</v>
      </c>
      <c r="G23" s="651">
        <v>100508</v>
      </c>
      <c r="H23" s="651">
        <f>100508+1403</f>
        <v>101911</v>
      </c>
      <c r="I23" s="931">
        <v>91937</v>
      </c>
      <c r="J23" s="931">
        <v>91937</v>
      </c>
      <c r="K23" s="843">
        <f t="shared" si="0"/>
        <v>1</v>
      </c>
      <c r="L23" s="651">
        <v>100508</v>
      </c>
      <c r="M23" s="651">
        <v>100508</v>
      </c>
      <c r="N23" s="651">
        <v>100508</v>
      </c>
      <c r="O23" s="651">
        <v>100508</v>
      </c>
      <c r="P23" s="651">
        <f>100508+1403</f>
        <v>101911</v>
      </c>
      <c r="Q23" s="931">
        <v>91937</v>
      </c>
      <c r="R23" s="931">
        <v>91937</v>
      </c>
      <c r="S23" s="843">
        <f t="shared" si="1"/>
        <v>1</v>
      </c>
      <c r="T23" s="652">
        <v>6883</v>
      </c>
      <c r="U23" s="652">
        <v>6883</v>
      </c>
      <c r="V23" s="652">
        <v>6883</v>
      </c>
      <c r="W23" s="652">
        <v>6883</v>
      </c>
      <c r="X23" s="652">
        <v>6883</v>
      </c>
      <c r="Y23" s="652">
        <v>6883</v>
      </c>
      <c r="Z23" s="653">
        <v>6887</v>
      </c>
      <c r="AA23" s="843">
        <f>Z23/Y23</f>
        <v>1.00058114194392</v>
      </c>
      <c r="AB23" s="653"/>
      <c r="AE23" s="169"/>
    </row>
    <row r="24" spans="1:28" s="175" customFormat="1" ht="15" customHeight="1" thickBot="1">
      <c r="A24" s="196"/>
      <c r="B24" s="197" t="s">
        <v>77</v>
      </c>
      <c r="C24" s="198" t="s">
        <v>139</v>
      </c>
      <c r="D24" s="237"/>
      <c r="E24" s="237"/>
      <c r="F24" s="237"/>
      <c r="G24" s="237"/>
      <c r="H24" s="237"/>
      <c r="I24" s="932"/>
      <c r="J24" s="932"/>
      <c r="K24" s="843"/>
      <c r="L24" s="237"/>
      <c r="M24" s="237"/>
      <c r="N24" s="237"/>
      <c r="O24" s="237"/>
      <c r="P24" s="237"/>
      <c r="Q24" s="932"/>
      <c r="R24" s="932"/>
      <c r="S24" s="843"/>
      <c r="T24" s="502"/>
      <c r="U24" s="502"/>
      <c r="V24" s="502"/>
      <c r="W24" s="502"/>
      <c r="X24" s="502"/>
      <c r="Y24" s="502"/>
      <c r="Z24" s="237"/>
      <c r="AA24" s="199"/>
      <c r="AB24" s="237"/>
    </row>
    <row r="25" spans="1:28" ht="13.5" hidden="1" thickBot="1">
      <c r="A25" s="200" t="s">
        <v>13</v>
      </c>
      <c r="B25" s="201"/>
      <c r="C25" s="202" t="s">
        <v>140</v>
      </c>
      <c r="D25" s="287"/>
      <c r="E25" s="287"/>
      <c r="F25" s="287"/>
      <c r="G25" s="287"/>
      <c r="H25" s="287"/>
      <c r="I25" s="951"/>
      <c r="J25" s="951"/>
      <c r="K25" s="843" t="e">
        <f t="shared" si="0"/>
        <v>#DIV/0!</v>
      </c>
      <c r="L25" s="287"/>
      <c r="M25" s="287"/>
      <c r="N25" s="287"/>
      <c r="O25" s="287"/>
      <c r="P25" s="287"/>
      <c r="Q25" s="951"/>
      <c r="R25" s="951"/>
      <c r="S25" s="843" t="e">
        <f t="shared" si="1"/>
        <v>#DIV/0!</v>
      </c>
      <c r="T25" s="500"/>
      <c r="U25" s="500"/>
      <c r="V25" s="500"/>
      <c r="W25" s="500"/>
      <c r="X25" s="500"/>
      <c r="Y25" s="500"/>
      <c r="Z25" s="235"/>
      <c r="AA25" s="190"/>
      <c r="AB25" s="235"/>
    </row>
    <row r="26" spans="1:28" s="163" customFormat="1" ht="16.5" customHeight="1" thickBot="1">
      <c r="A26" s="200" t="s">
        <v>13</v>
      </c>
      <c r="B26" s="203"/>
      <c r="C26" s="204" t="s">
        <v>302</v>
      </c>
      <c r="D26" s="293">
        <f aca="true" t="shared" si="9" ref="D26:I26">D20+D25+D21</f>
        <v>101560</v>
      </c>
      <c r="E26" s="293">
        <f t="shared" si="9"/>
        <v>101560</v>
      </c>
      <c r="F26" s="293">
        <f t="shared" si="9"/>
        <v>101709</v>
      </c>
      <c r="G26" s="293">
        <f t="shared" si="9"/>
        <v>101785</v>
      </c>
      <c r="H26" s="293">
        <f t="shared" si="9"/>
        <v>103306</v>
      </c>
      <c r="I26" s="293">
        <f t="shared" si="9"/>
        <v>93234</v>
      </c>
      <c r="J26" s="293">
        <f>J20+J25+J21</f>
        <v>93222</v>
      </c>
      <c r="K26" s="815">
        <f t="shared" si="0"/>
        <v>0.9998712915889053</v>
      </c>
      <c r="L26" s="293">
        <f aca="true" t="shared" si="10" ref="L26:R26">L20+L25+L21</f>
        <v>101560</v>
      </c>
      <c r="M26" s="293">
        <f t="shared" si="10"/>
        <v>101560</v>
      </c>
      <c r="N26" s="293">
        <f t="shared" si="10"/>
        <v>101709</v>
      </c>
      <c r="O26" s="293">
        <f t="shared" si="10"/>
        <v>101785</v>
      </c>
      <c r="P26" s="293">
        <f t="shared" si="10"/>
        <v>103306</v>
      </c>
      <c r="Q26" s="293">
        <f t="shared" si="10"/>
        <v>93234</v>
      </c>
      <c r="R26" s="293">
        <f t="shared" si="10"/>
        <v>93222</v>
      </c>
      <c r="S26" s="815">
        <f t="shared" si="1"/>
        <v>0.9998712915889053</v>
      </c>
      <c r="T26" s="293">
        <f aca="true" t="shared" si="11" ref="T26:Z26">T20+T25+T21</f>
        <v>6883</v>
      </c>
      <c r="U26" s="293">
        <f t="shared" si="11"/>
        <v>6883</v>
      </c>
      <c r="V26" s="293">
        <f t="shared" si="11"/>
        <v>6883</v>
      </c>
      <c r="W26" s="293">
        <f t="shared" si="11"/>
        <v>6883</v>
      </c>
      <c r="X26" s="293">
        <f t="shared" si="11"/>
        <v>6883</v>
      </c>
      <c r="Y26" s="293">
        <f t="shared" si="11"/>
        <v>6883</v>
      </c>
      <c r="Z26" s="293">
        <f t="shared" si="11"/>
        <v>6887</v>
      </c>
      <c r="AA26" s="412">
        <f>Z26/Y26</f>
        <v>1.00058114194392</v>
      </c>
      <c r="AB26" s="238"/>
    </row>
    <row r="27" spans="1:21" s="209" customFormat="1" ht="12" customHeight="1">
      <c r="A27" s="206"/>
      <c r="B27" s="206"/>
      <c r="C27" s="207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</row>
    <row r="28" spans="1:21" ht="12" customHeight="1" thickBot="1">
      <c r="A28" s="210"/>
      <c r="B28" s="211"/>
      <c r="C28" s="211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</row>
    <row r="29" spans="1:27" ht="12" customHeight="1" thickBot="1">
      <c r="A29" s="213"/>
      <c r="B29" s="214"/>
      <c r="C29" s="215" t="s">
        <v>142</v>
      </c>
      <c r="D29" s="229"/>
      <c r="E29" s="229"/>
      <c r="F29" s="229"/>
      <c r="G29" s="229"/>
      <c r="H29" s="229"/>
      <c r="I29" s="229"/>
      <c r="J29" s="229"/>
      <c r="K29" s="992"/>
      <c r="L29" s="238"/>
      <c r="M29" s="229"/>
      <c r="N29" s="229"/>
      <c r="O29" s="229"/>
      <c r="P29" s="229"/>
      <c r="Q29" s="229"/>
      <c r="R29" s="229"/>
      <c r="S29" s="229"/>
      <c r="T29" s="503"/>
      <c r="U29" s="503"/>
      <c r="V29" s="238"/>
      <c r="W29" s="238"/>
      <c r="X29" s="238"/>
      <c r="Y29" s="955"/>
      <c r="Z29" s="223"/>
      <c r="AA29" s="205"/>
    </row>
    <row r="30" spans="1:28" ht="12" customHeight="1" thickBot="1">
      <c r="A30" s="180" t="s">
        <v>30</v>
      </c>
      <c r="B30" s="216"/>
      <c r="C30" s="506" t="s">
        <v>143</v>
      </c>
      <c r="D30" s="495">
        <f aca="true" t="shared" si="12" ref="D30:I30">SUM(D31:D35)</f>
        <v>100671</v>
      </c>
      <c r="E30" s="495">
        <f t="shared" si="12"/>
        <v>100671</v>
      </c>
      <c r="F30" s="495">
        <f t="shared" si="12"/>
        <v>100820</v>
      </c>
      <c r="G30" s="495">
        <f t="shared" si="12"/>
        <v>100896</v>
      </c>
      <c r="H30" s="495">
        <f t="shared" si="12"/>
        <v>102417</v>
      </c>
      <c r="I30" s="495">
        <f t="shared" si="12"/>
        <v>92938</v>
      </c>
      <c r="J30" s="495">
        <f>SUM(J31:J35)</f>
        <v>92863</v>
      </c>
      <c r="K30" s="815">
        <f aca="true" t="shared" si="13" ref="K30:K45">J30/I30</f>
        <v>0.9991930103940261</v>
      </c>
      <c r="L30" s="495">
        <f aca="true" t="shared" si="14" ref="L30:R30">SUM(L31:L35)</f>
        <v>100671</v>
      </c>
      <c r="M30" s="495">
        <f t="shared" si="14"/>
        <v>100671</v>
      </c>
      <c r="N30" s="495">
        <f t="shared" si="14"/>
        <v>100820</v>
      </c>
      <c r="O30" s="495">
        <f t="shared" si="14"/>
        <v>100896</v>
      </c>
      <c r="P30" s="495">
        <f t="shared" si="14"/>
        <v>102417</v>
      </c>
      <c r="Q30" s="495">
        <f t="shared" si="14"/>
        <v>92938</v>
      </c>
      <c r="R30" s="495">
        <f t="shared" si="14"/>
        <v>92863</v>
      </c>
      <c r="S30" s="815">
        <f aca="true" t="shared" si="15" ref="S30:S45">R30/Q30</f>
        <v>0.9991930103940261</v>
      </c>
      <c r="T30" s="495">
        <f aca="true" t="shared" si="16" ref="T30:Z30">SUM(T31:T35)</f>
        <v>6883</v>
      </c>
      <c r="U30" s="495">
        <f t="shared" si="16"/>
        <v>6883</v>
      </c>
      <c r="V30" s="495">
        <f t="shared" si="16"/>
        <v>6883</v>
      </c>
      <c r="W30" s="495">
        <f t="shared" si="16"/>
        <v>6883</v>
      </c>
      <c r="X30" s="495">
        <f t="shared" si="16"/>
        <v>6883</v>
      </c>
      <c r="Y30" s="495">
        <f t="shared" si="16"/>
        <v>6883</v>
      </c>
      <c r="Z30" s="495">
        <f t="shared" si="16"/>
        <v>6877</v>
      </c>
      <c r="AA30" s="412">
        <f>Z30/Y30</f>
        <v>0.9991282870841203</v>
      </c>
      <c r="AB30" s="168">
        <f>SUM(AB31:AB35)</f>
        <v>0</v>
      </c>
    </row>
    <row r="31" spans="1:28" ht="12" customHeight="1">
      <c r="A31" s="217"/>
      <c r="B31" s="218" t="s">
        <v>117</v>
      </c>
      <c r="C31" s="507" t="s">
        <v>144</v>
      </c>
      <c r="D31" s="513">
        <v>61489</v>
      </c>
      <c r="E31" s="513">
        <v>61489</v>
      </c>
      <c r="F31" s="513">
        <v>61489</v>
      </c>
      <c r="G31" s="513">
        <v>61489</v>
      </c>
      <c r="H31" s="513">
        <v>61489</v>
      </c>
      <c r="I31" s="233">
        <v>57496</v>
      </c>
      <c r="J31" s="233">
        <v>57483</v>
      </c>
      <c r="K31" s="994">
        <f t="shared" si="13"/>
        <v>0.9997738973145958</v>
      </c>
      <c r="L31" s="513">
        <v>61489</v>
      </c>
      <c r="M31" s="513">
        <v>61489</v>
      </c>
      <c r="N31" s="513">
        <v>61489</v>
      </c>
      <c r="O31" s="513">
        <v>61489</v>
      </c>
      <c r="P31" s="513">
        <v>61489</v>
      </c>
      <c r="Q31" s="233">
        <v>57496</v>
      </c>
      <c r="R31" s="233">
        <v>57483</v>
      </c>
      <c r="S31" s="994">
        <f t="shared" si="15"/>
        <v>0.9997738973145958</v>
      </c>
      <c r="T31" s="497">
        <v>4511</v>
      </c>
      <c r="U31" s="497">
        <v>4511</v>
      </c>
      <c r="V31" s="497">
        <v>4511</v>
      </c>
      <c r="W31" s="497">
        <v>4511</v>
      </c>
      <c r="X31" s="497">
        <v>4511</v>
      </c>
      <c r="Y31" s="497">
        <v>4511</v>
      </c>
      <c r="Z31" s="497">
        <v>4422</v>
      </c>
      <c r="AA31" s="843">
        <f>Z31/Y31</f>
        <v>0.980270450011084</v>
      </c>
      <c r="AB31" s="174"/>
    </row>
    <row r="32" spans="1:28" ht="12" customHeight="1">
      <c r="A32" s="219"/>
      <c r="B32" s="220" t="s">
        <v>118</v>
      </c>
      <c r="C32" s="508" t="s">
        <v>54</v>
      </c>
      <c r="D32" s="514">
        <v>16544</v>
      </c>
      <c r="E32" s="514">
        <v>16544</v>
      </c>
      <c r="F32" s="514">
        <v>16544</v>
      </c>
      <c r="G32" s="514">
        <v>16544</v>
      </c>
      <c r="H32" s="514">
        <v>16544</v>
      </c>
      <c r="I32" s="240">
        <v>15730</v>
      </c>
      <c r="J32" s="240">
        <v>15729</v>
      </c>
      <c r="K32" s="843">
        <f t="shared" si="13"/>
        <v>0.9999364272091544</v>
      </c>
      <c r="L32" s="514">
        <v>16544</v>
      </c>
      <c r="M32" s="514">
        <v>16544</v>
      </c>
      <c r="N32" s="514">
        <v>16544</v>
      </c>
      <c r="O32" s="514">
        <v>16544</v>
      </c>
      <c r="P32" s="514">
        <v>16544</v>
      </c>
      <c r="Q32" s="240">
        <v>15730</v>
      </c>
      <c r="R32" s="240">
        <v>15729</v>
      </c>
      <c r="S32" s="843">
        <f t="shared" si="15"/>
        <v>0.9999364272091544</v>
      </c>
      <c r="T32" s="497">
        <v>1036</v>
      </c>
      <c r="U32" s="497">
        <v>1036</v>
      </c>
      <c r="V32" s="497">
        <v>1036</v>
      </c>
      <c r="W32" s="497">
        <v>1036</v>
      </c>
      <c r="X32" s="497">
        <v>1036</v>
      </c>
      <c r="Y32" s="497">
        <v>1036</v>
      </c>
      <c r="Z32" s="497">
        <v>1213</v>
      </c>
      <c r="AA32" s="843">
        <f>Z32/Y32</f>
        <v>1.170849420849421</v>
      </c>
      <c r="AB32" s="174"/>
    </row>
    <row r="33" spans="1:28" ht="12" customHeight="1">
      <c r="A33" s="219"/>
      <c r="B33" s="220" t="s">
        <v>119</v>
      </c>
      <c r="C33" s="508" t="s">
        <v>145</v>
      </c>
      <c r="D33" s="514">
        <v>18823</v>
      </c>
      <c r="E33" s="514">
        <v>18823</v>
      </c>
      <c r="F33" s="514">
        <f>18823+149</f>
        <v>18972</v>
      </c>
      <c r="G33" s="514">
        <f>18823+149-7</f>
        <v>18965</v>
      </c>
      <c r="H33" s="514">
        <f>18823+149-7+118</f>
        <v>19083</v>
      </c>
      <c r="I33" s="240">
        <v>16204</v>
      </c>
      <c r="J33" s="240">
        <v>16144</v>
      </c>
      <c r="K33" s="843">
        <f t="shared" si="13"/>
        <v>0.9962972105652925</v>
      </c>
      <c r="L33" s="514">
        <v>18823</v>
      </c>
      <c r="M33" s="514">
        <v>18823</v>
      </c>
      <c r="N33" s="514">
        <f>18823+149</f>
        <v>18972</v>
      </c>
      <c r="O33" s="514">
        <f>18823+149-7</f>
        <v>18965</v>
      </c>
      <c r="P33" s="514">
        <f>18823+149-7+118</f>
        <v>19083</v>
      </c>
      <c r="Q33" s="240">
        <v>16204</v>
      </c>
      <c r="R33" s="240">
        <v>16144</v>
      </c>
      <c r="S33" s="843">
        <f t="shared" si="15"/>
        <v>0.9962972105652925</v>
      </c>
      <c r="T33" s="497">
        <v>1336</v>
      </c>
      <c r="U33" s="497">
        <v>1336</v>
      </c>
      <c r="V33" s="497">
        <v>1336</v>
      </c>
      <c r="W33" s="497">
        <v>1336</v>
      </c>
      <c r="X33" s="497">
        <v>1336</v>
      </c>
      <c r="Y33" s="497">
        <v>1336</v>
      </c>
      <c r="Z33" s="497">
        <v>1242</v>
      </c>
      <c r="AA33" s="843">
        <f>Z33/Y33</f>
        <v>0.9296407185628742</v>
      </c>
      <c r="AB33" s="174"/>
    </row>
    <row r="34" spans="1:28" s="209" customFormat="1" ht="12" customHeight="1">
      <c r="A34" s="219"/>
      <c r="B34" s="220" t="s">
        <v>120</v>
      </c>
      <c r="C34" s="508" t="s">
        <v>87</v>
      </c>
      <c r="D34" s="514">
        <v>3815</v>
      </c>
      <c r="E34" s="514">
        <v>3815</v>
      </c>
      <c r="F34" s="514">
        <v>3815</v>
      </c>
      <c r="G34" s="514">
        <v>3815</v>
      </c>
      <c r="H34" s="514">
        <f>3815+1403</f>
        <v>5218</v>
      </c>
      <c r="I34" s="240">
        <v>3010</v>
      </c>
      <c r="J34" s="240">
        <v>3009</v>
      </c>
      <c r="K34" s="843">
        <f t="shared" si="13"/>
        <v>0.9996677740863787</v>
      </c>
      <c r="L34" s="514">
        <v>3815</v>
      </c>
      <c r="M34" s="514">
        <v>3815</v>
      </c>
      <c r="N34" s="514">
        <v>3815</v>
      </c>
      <c r="O34" s="514">
        <v>3815</v>
      </c>
      <c r="P34" s="514">
        <f>3815+1403</f>
        <v>5218</v>
      </c>
      <c r="Q34" s="952">
        <v>3010</v>
      </c>
      <c r="R34" s="952">
        <v>3009</v>
      </c>
      <c r="S34" s="843">
        <f t="shared" si="15"/>
        <v>0.9996677740863787</v>
      </c>
      <c r="T34" s="497"/>
      <c r="U34" s="497"/>
      <c r="V34" s="497"/>
      <c r="W34" s="497"/>
      <c r="X34" s="232"/>
      <c r="Y34" s="232"/>
      <c r="Z34" s="232"/>
      <c r="AA34" s="174"/>
      <c r="AB34" s="174"/>
    </row>
    <row r="35" spans="1:28" ht="12" customHeight="1" thickBot="1">
      <c r="A35" s="219"/>
      <c r="B35" s="220" t="s">
        <v>53</v>
      </c>
      <c r="C35" s="508" t="s">
        <v>89</v>
      </c>
      <c r="D35" s="514"/>
      <c r="E35" s="514"/>
      <c r="F35" s="514"/>
      <c r="G35" s="514">
        <v>83</v>
      </c>
      <c r="H35" s="514">
        <v>83</v>
      </c>
      <c r="I35" s="540">
        <f>83+415</f>
        <v>498</v>
      </c>
      <c r="J35" s="540">
        <f>83+415</f>
        <v>498</v>
      </c>
      <c r="K35" s="991">
        <f t="shared" si="13"/>
        <v>1</v>
      </c>
      <c r="L35" s="514"/>
      <c r="M35" s="514"/>
      <c r="N35" s="514"/>
      <c r="O35" s="514">
        <v>83</v>
      </c>
      <c r="P35" s="514">
        <v>83</v>
      </c>
      <c r="Q35" s="540">
        <f>83+415</f>
        <v>498</v>
      </c>
      <c r="R35" s="540">
        <f>83+415</f>
        <v>498</v>
      </c>
      <c r="S35" s="991">
        <f t="shared" si="15"/>
        <v>1</v>
      </c>
      <c r="T35" s="514"/>
      <c r="U35" s="514"/>
      <c r="V35" s="514"/>
      <c r="W35" s="514"/>
      <c r="X35" s="240"/>
      <c r="Y35" s="240"/>
      <c r="Z35" s="240"/>
      <c r="AA35" s="221"/>
      <c r="AB35" s="221"/>
    </row>
    <row r="36" spans="1:28" ht="12" customHeight="1" thickBot="1">
      <c r="A36" s="180" t="s">
        <v>31</v>
      </c>
      <c r="B36" s="216"/>
      <c r="C36" s="506" t="s">
        <v>146</v>
      </c>
      <c r="D36" s="495">
        <f aca="true" t="shared" si="17" ref="D36:I36">SUM(D37:D40)</f>
        <v>889</v>
      </c>
      <c r="E36" s="495">
        <f t="shared" si="17"/>
        <v>889</v>
      </c>
      <c r="F36" s="495">
        <f t="shared" si="17"/>
        <v>889</v>
      </c>
      <c r="G36" s="495">
        <f t="shared" si="17"/>
        <v>889</v>
      </c>
      <c r="H36" s="495">
        <f t="shared" si="17"/>
        <v>889</v>
      </c>
      <c r="I36" s="495">
        <f t="shared" si="17"/>
        <v>296</v>
      </c>
      <c r="J36" s="495">
        <f>SUM(J37:J40)</f>
        <v>296</v>
      </c>
      <c r="K36" s="815">
        <f t="shared" si="13"/>
        <v>1</v>
      </c>
      <c r="L36" s="495">
        <f aca="true" t="shared" si="18" ref="L36:R36">SUM(L37:L40)</f>
        <v>889</v>
      </c>
      <c r="M36" s="495">
        <f t="shared" si="18"/>
        <v>889</v>
      </c>
      <c r="N36" s="495">
        <f t="shared" si="18"/>
        <v>889</v>
      </c>
      <c r="O36" s="495">
        <f t="shared" si="18"/>
        <v>889</v>
      </c>
      <c r="P36" s="495">
        <f t="shared" si="18"/>
        <v>889</v>
      </c>
      <c r="Q36" s="495">
        <f t="shared" si="18"/>
        <v>296</v>
      </c>
      <c r="R36" s="495">
        <f t="shared" si="18"/>
        <v>296</v>
      </c>
      <c r="S36" s="815">
        <f t="shared" si="15"/>
        <v>1</v>
      </c>
      <c r="T36" s="495">
        <f aca="true" t="shared" si="19" ref="T36:Z36">SUM(T37:T40)</f>
        <v>0</v>
      </c>
      <c r="U36" s="495">
        <f>SUM(U37:U40)</f>
        <v>0</v>
      </c>
      <c r="V36" s="495">
        <f>SUM(V37:V40)</f>
        <v>0</v>
      </c>
      <c r="W36" s="495">
        <f>SUM(W37:W40)</f>
        <v>0</v>
      </c>
      <c r="X36" s="231">
        <f t="shared" si="19"/>
        <v>0</v>
      </c>
      <c r="Y36" s="231">
        <f>SUM(Y37:Y40)</f>
        <v>0</v>
      </c>
      <c r="Z36" s="231">
        <f t="shared" si="19"/>
        <v>0</v>
      </c>
      <c r="AA36" s="168">
        <f>SUM(AA37:AA40)</f>
        <v>0</v>
      </c>
      <c r="AB36" s="168">
        <f>SUM(AB37:AB40)</f>
        <v>0</v>
      </c>
    </row>
    <row r="37" spans="1:28" ht="12" customHeight="1">
      <c r="A37" s="217"/>
      <c r="B37" s="218" t="s">
        <v>147</v>
      </c>
      <c r="C37" s="507" t="s">
        <v>99</v>
      </c>
      <c r="D37" s="513">
        <v>889</v>
      </c>
      <c r="E37" s="513">
        <v>889</v>
      </c>
      <c r="F37" s="513">
        <v>889</v>
      </c>
      <c r="G37" s="513">
        <v>889</v>
      </c>
      <c r="H37" s="513">
        <v>889</v>
      </c>
      <c r="I37" s="539">
        <v>296</v>
      </c>
      <c r="J37" s="539">
        <v>296</v>
      </c>
      <c r="K37" s="994">
        <f t="shared" si="13"/>
        <v>1</v>
      </c>
      <c r="L37" s="513">
        <v>889</v>
      </c>
      <c r="M37" s="513">
        <v>889</v>
      </c>
      <c r="N37" s="513">
        <v>889</v>
      </c>
      <c r="O37" s="513">
        <v>889</v>
      </c>
      <c r="P37" s="513">
        <v>889</v>
      </c>
      <c r="Q37" s="539">
        <v>296</v>
      </c>
      <c r="R37" s="539">
        <v>296</v>
      </c>
      <c r="S37" s="994">
        <f t="shared" si="15"/>
        <v>1</v>
      </c>
      <c r="T37" s="497"/>
      <c r="U37" s="497"/>
      <c r="V37" s="497"/>
      <c r="W37" s="497"/>
      <c r="X37" s="232"/>
      <c r="Y37" s="232"/>
      <c r="Z37" s="232"/>
      <c r="AA37" s="174"/>
      <c r="AB37" s="174"/>
    </row>
    <row r="38" spans="1:28" ht="12" customHeight="1">
      <c r="A38" s="219"/>
      <c r="B38" s="220" t="s">
        <v>148</v>
      </c>
      <c r="C38" s="508" t="s">
        <v>100</v>
      </c>
      <c r="D38" s="514">
        <v>0</v>
      </c>
      <c r="E38" s="514">
        <v>0</v>
      </c>
      <c r="F38" s="514">
        <v>0</v>
      </c>
      <c r="G38" s="514">
        <v>0</v>
      </c>
      <c r="H38" s="514">
        <v>0</v>
      </c>
      <c r="I38" s="952"/>
      <c r="J38" s="952"/>
      <c r="K38" s="843"/>
      <c r="L38" s="514">
        <v>0</v>
      </c>
      <c r="M38" s="514">
        <v>0</v>
      </c>
      <c r="N38" s="514">
        <v>0</v>
      </c>
      <c r="O38" s="514">
        <v>0</v>
      </c>
      <c r="P38" s="514">
        <v>0</v>
      </c>
      <c r="Q38" s="952"/>
      <c r="R38" s="952"/>
      <c r="S38" s="843"/>
      <c r="T38" s="514"/>
      <c r="U38" s="514"/>
      <c r="V38" s="514"/>
      <c r="W38" s="514"/>
      <c r="X38" s="240"/>
      <c r="Y38" s="240"/>
      <c r="Z38" s="240"/>
      <c r="AA38" s="221"/>
      <c r="AB38" s="221"/>
    </row>
    <row r="39" spans="1:28" ht="15" customHeight="1">
      <c r="A39" s="219"/>
      <c r="B39" s="220" t="s">
        <v>149</v>
      </c>
      <c r="C39" s="508" t="s">
        <v>150</v>
      </c>
      <c r="D39" s="514"/>
      <c r="E39" s="514"/>
      <c r="F39" s="514"/>
      <c r="G39" s="514"/>
      <c r="H39" s="514"/>
      <c r="I39" s="952"/>
      <c r="J39" s="952"/>
      <c r="K39" s="843"/>
      <c r="L39" s="514"/>
      <c r="M39" s="514"/>
      <c r="N39" s="514"/>
      <c r="O39" s="514"/>
      <c r="P39" s="514"/>
      <c r="Q39" s="952"/>
      <c r="R39" s="952"/>
      <c r="S39" s="843"/>
      <c r="T39" s="514"/>
      <c r="U39" s="514"/>
      <c r="V39" s="514"/>
      <c r="W39" s="514"/>
      <c r="X39" s="240"/>
      <c r="Y39" s="240"/>
      <c r="Z39" s="240"/>
      <c r="AA39" s="221"/>
      <c r="AB39" s="221"/>
    </row>
    <row r="40" spans="1:28" ht="23.25" thickBot="1">
      <c r="A40" s="219"/>
      <c r="B40" s="220" t="s">
        <v>151</v>
      </c>
      <c r="C40" s="508" t="s">
        <v>152</v>
      </c>
      <c r="D40" s="514"/>
      <c r="E40" s="514"/>
      <c r="F40" s="514"/>
      <c r="G40" s="514"/>
      <c r="H40" s="514"/>
      <c r="I40" s="952"/>
      <c r="J40" s="952"/>
      <c r="K40" s="843"/>
      <c r="L40" s="514"/>
      <c r="M40" s="514"/>
      <c r="N40" s="514"/>
      <c r="O40" s="514"/>
      <c r="P40" s="514"/>
      <c r="Q40" s="952"/>
      <c r="R40" s="952"/>
      <c r="S40" s="843"/>
      <c r="T40" s="514"/>
      <c r="U40" s="514"/>
      <c r="V40" s="514"/>
      <c r="W40" s="514"/>
      <c r="X40" s="240"/>
      <c r="Y40" s="240"/>
      <c r="Z40" s="240"/>
      <c r="AA40" s="221"/>
      <c r="AB40" s="221"/>
    </row>
    <row r="41" spans="1:28" ht="15" customHeight="1" hidden="1" thickBot="1">
      <c r="A41" s="180" t="s">
        <v>10</v>
      </c>
      <c r="B41" s="216"/>
      <c r="C41" s="509" t="s">
        <v>153</v>
      </c>
      <c r="D41" s="500"/>
      <c r="E41" s="500"/>
      <c r="F41" s="500"/>
      <c r="G41" s="500"/>
      <c r="H41" s="500"/>
      <c r="I41" s="287"/>
      <c r="J41" s="287"/>
      <c r="K41" s="843" t="e">
        <f t="shared" si="13"/>
        <v>#DIV/0!</v>
      </c>
      <c r="L41" s="500"/>
      <c r="M41" s="500"/>
      <c r="N41" s="500"/>
      <c r="O41" s="500"/>
      <c r="P41" s="500"/>
      <c r="Q41" s="287"/>
      <c r="R41" s="287"/>
      <c r="S41" s="843" t="e">
        <f t="shared" si="15"/>
        <v>#DIV/0!</v>
      </c>
      <c r="T41" s="500"/>
      <c r="U41" s="500"/>
      <c r="V41" s="500"/>
      <c r="W41" s="500"/>
      <c r="X41" s="235"/>
      <c r="Y41" s="235"/>
      <c r="Z41" s="235"/>
      <c r="AA41" s="190"/>
      <c r="AB41" s="190"/>
    </row>
    <row r="42" spans="1:28" ht="14.25" customHeight="1" hidden="1" thickBot="1">
      <c r="A42" s="200" t="s">
        <v>11</v>
      </c>
      <c r="B42" s="201"/>
      <c r="C42" s="510" t="s">
        <v>154</v>
      </c>
      <c r="D42" s="500"/>
      <c r="E42" s="500"/>
      <c r="F42" s="500"/>
      <c r="G42" s="500"/>
      <c r="H42" s="500"/>
      <c r="I42" s="287"/>
      <c r="J42" s="287"/>
      <c r="K42" s="991" t="e">
        <f t="shared" si="13"/>
        <v>#DIV/0!</v>
      </c>
      <c r="L42" s="500"/>
      <c r="M42" s="500"/>
      <c r="N42" s="500"/>
      <c r="O42" s="500"/>
      <c r="P42" s="500"/>
      <c r="Q42" s="287"/>
      <c r="R42" s="287"/>
      <c r="S42" s="991" t="e">
        <f t="shared" si="15"/>
        <v>#DIV/0!</v>
      </c>
      <c r="T42" s="500"/>
      <c r="U42" s="500"/>
      <c r="V42" s="500"/>
      <c r="W42" s="500"/>
      <c r="X42" s="235"/>
      <c r="Y42" s="235"/>
      <c r="Z42" s="235"/>
      <c r="AA42" s="190"/>
      <c r="AB42" s="190"/>
    </row>
    <row r="43" spans="1:28" ht="13.5" thickBot="1">
      <c r="A43" s="180" t="s">
        <v>10</v>
      </c>
      <c r="B43" s="222"/>
      <c r="C43" s="511" t="s">
        <v>303</v>
      </c>
      <c r="D43" s="503">
        <f aca="true" t="shared" si="20" ref="D43:N43">D30+D36+D41+D42</f>
        <v>101560</v>
      </c>
      <c r="E43" s="503">
        <f t="shared" si="20"/>
        <v>101560</v>
      </c>
      <c r="F43" s="503">
        <f>F30+F36+F41+F42</f>
        <v>101709</v>
      </c>
      <c r="G43" s="503">
        <f>G30+G36+G41+G42</f>
        <v>101785</v>
      </c>
      <c r="H43" s="503">
        <f>H30+H36+H41+H42</f>
        <v>103306</v>
      </c>
      <c r="I43" s="503">
        <f>I30+I36+I41+I42</f>
        <v>93234</v>
      </c>
      <c r="J43" s="503">
        <f>J30+J36+J41+J42</f>
        <v>93159</v>
      </c>
      <c r="K43" s="815">
        <f t="shared" si="13"/>
        <v>0.9991955724306584</v>
      </c>
      <c r="L43" s="503">
        <f t="shared" si="20"/>
        <v>101560</v>
      </c>
      <c r="M43" s="503">
        <f t="shared" si="20"/>
        <v>101560</v>
      </c>
      <c r="N43" s="503">
        <f t="shared" si="20"/>
        <v>101709</v>
      </c>
      <c r="O43" s="503">
        <f>O30+O36+O41+O42</f>
        <v>101785</v>
      </c>
      <c r="P43" s="503">
        <f>P30+P36+P41+P42</f>
        <v>103306</v>
      </c>
      <c r="Q43" s="503">
        <f>Q30+Q36+Q41+Q42</f>
        <v>93234</v>
      </c>
      <c r="R43" s="503">
        <f>R30+R36+R41+R42</f>
        <v>93159</v>
      </c>
      <c r="S43" s="815">
        <f t="shared" si="15"/>
        <v>0.9991955724306584</v>
      </c>
      <c r="T43" s="503">
        <f aca="true" t="shared" si="21" ref="T43:Z43">T30+T36+T41+T42</f>
        <v>6883</v>
      </c>
      <c r="U43" s="503">
        <f t="shared" si="21"/>
        <v>6883</v>
      </c>
      <c r="V43" s="503">
        <f t="shared" si="21"/>
        <v>6883</v>
      </c>
      <c r="W43" s="503">
        <f t="shared" si="21"/>
        <v>6883</v>
      </c>
      <c r="X43" s="238">
        <f t="shared" si="21"/>
        <v>6883</v>
      </c>
      <c r="Y43" s="238">
        <f t="shared" si="21"/>
        <v>6883</v>
      </c>
      <c r="Z43" s="238">
        <f t="shared" si="21"/>
        <v>6877</v>
      </c>
      <c r="AA43" s="412">
        <f>Z43/Y43</f>
        <v>0.9991282870841203</v>
      </c>
      <c r="AB43" s="223">
        <f>AB30+AB36+AB41+AB42</f>
        <v>0</v>
      </c>
    </row>
    <row r="44" spans="1:28" ht="13.5" thickBot="1">
      <c r="A44" s="224"/>
      <c r="B44" s="225"/>
      <c r="C44" s="225"/>
      <c r="D44" s="520"/>
      <c r="E44" s="520"/>
      <c r="F44" s="520"/>
      <c r="G44" s="520"/>
      <c r="H44" s="520"/>
      <c r="I44" s="953"/>
      <c r="J44" s="521"/>
      <c r="K44" s="993"/>
      <c r="L44" s="520"/>
      <c r="M44" s="520"/>
      <c r="N44" s="520"/>
      <c r="O44" s="520"/>
      <c r="P44" s="520"/>
      <c r="Q44" s="953"/>
      <c r="R44" s="521"/>
      <c r="S44" s="993"/>
      <c r="T44" s="520"/>
      <c r="U44" s="520"/>
      <c r="V44" s="520"/>
      <c r="W44" s="520"/>
      <c r="X44" s="522"/>
      <c r="Y44" s="522"/>
      <c r="Z44" s="522"/>
      <c r="AA44" s="523"/>
      <c r="AB44" s="523"/>
    </row>
    <row r="45" spans="1:28" ht="13.5" thickBot="1">
      <c r="A45" s="226" t="s">
        <v>156</v>
      </c>
      <c r="B45" s="227"/>
      <c r="C45" s="512"/>
      <c r="D45" s="524">
        <v>21</v>
      </c>
      <c r="E45" s="524">
        <v>21</v>
      </c>
      <c r="F45" s="524">
        <v>21</v>
      </c>
      <c r="G45" s="524">
        <v>19</v>
      </c>
      <c r="H45" s="524">
        <v>19</v>
      </c>
      <c r="I45" s="954">
        <v>18</v>
      </c>
      <c r="J45" s="954">
        <v>18</v>
      </c>
      <c r="K45" s="815">
        <f t="shared" si="13"/>
        <v>1</v>
      </c>
      <c r="L45" s="524">
        <v>21</v>
      </c>
      <c r="M45" s="524">
        <v>21</v>
      </c>
      <c r="N45" s="524">
        <v>21</v>
      </c>
      <c r="O45" s="524">
        <v>19</v>
      </c>
      <c r="P45" s="524">
        <v>19</v>
      </c>
      <c r="Q45" s="954">
        <v>18</v>
      </c>
      <c r="R45" s="954">
        <v>18</v>
      </c>
      <c r="S45" s="815">
        <f t="shared" si="15"/>
        <v>1</v>
      </c>
      <c r="T45" s="524">
        <v>2</v>
      </c>
      <c r="U45" s="524">
        <v>2</v>
      </c>
      <c r="V45" s="524">
        <v>2</v>
      </c>
      <c r="W45" s="524">
        <v>2</v>
      </c>
      <c r="X45" s="243">
        <v>2</v>
      </c>
      <c r="Y45" s="243">
        <v>2</v>
      </c>
      <c r="Z45" s="243">
        <v>2</v>
      </c>
      <c r="AA45" s="412">
        <f>Z45/Y45</f>
        <v>1</v>
      </c>
      <c r="AB45" s="515"/>
    </row>
    <row r="46" spans="1:28" ht="13.5" thickBot="1">
      <c r="A46" s="226" t="s">
        <v>157</v>
      </c>
      <c r="B46" s="227"/>
      <c r="C46" s="512"/>
      <c r="D46" s="524">
        <v>0</v>
      </c>
      <c r="E46" s="524">
        <v>0</v>
      </c>
      <c r="F46" s="524">
        <v>0</v>
      </c>
      <c r="G46" s="524">
        <v>0</v>
      </c>
      <c r="H46" s="524">
        <v>0</v>
      </c>
      <c r="I46" s="954">
        <v>0</v>
      </c>
      <c r="J46" s="954">
        <v>0</v>
      </c>
      <c r="K46" s="815"/>
      <c r="L46" s="524">
        <v>0</v>
      </c>
      <c r="M46" s="524">
        <v>0</v>
      </c>
      <c r="N46" s="524">
        <v>0</v>
      </c>
      <c r="O46" s="524">
        <v>0</v>
      </c>
      <c r="P46" s="524">
        <v>0</v>
      </c>
      <c r="Q46" s="954">
        <v>0</v>
      </c>
      <c r="R46" s="954">
        <v>0</v>
      </c>
      <c r="S46" s="815"/>
      <c r="T46" s="524">
        <v>0</v>
      </c>
      <c r="U46" s="524">
        <v>0</v>
      </c>
      <c r="V46" s="524">
        <v>0</v>
      </c>
      <c r="W46" s="524">
        <v>0</v>
      </c>
      <c r="X46" s="243">
        <v>0</v>
      </c>
      <c r="Y46" s="243">
        <v>0</v>
      </c>
      <c r="Z46" s="243">
        <v>0</v>
      </c>
      <c r="AA46" s="515"/>
      <c r="AB46" s="515"/>
    </row>
    <row r="47" spans="6:19" ht="7.5" customHeight="1">
      <c r="F47" s="244"/>
      <c r="G47" s="244"/>
      <c r="H47" s="244"/>
      <c r="I47" s="244"/>
      <c r="J47" s="244"/>
      <c r="K47" s="244"/>
      <c r="N47" s="244"/>
      <c r="O47" s="244"/>
      <c r="P47" s="244"/>
      <c r="Q47" s="244"/>
      <c r="R47" s="244"/>
      <c r="S47" s="244"/>
    </row>
    <row r="48" spans="1:19" ht="12.75">
      <c r="A48" s="1186" t="s">
        <v>225</v>
      </c>
      <c r="B48" s="1186"/>
      <c r="C48" s="1186"/>
      <c r="N48" s="244"/>
      <c r="O48" s="244"/>
      <c r="P48" s="244"/>
      <c r="Q48" s="244"/>
      <c r="R48" s="244"/>
      <c r="S48" s="244"/>
    </row>
    <row r="49" spans="4:11" ht="12.75">
      <c r="D49" s="244">
        <v>0</v>
      </c>
      <c r="E49" s="244"/>
      <c r="F49" s="244"/>
      <c r="G49" s="244"/>
      <c r="H49" s="244"/>
      <c r="I49" s="244"/>
      <c r="J49" s="244"/>
      <c r="K49" s="244"/>
    </row>
  </sheetData>
  <sheetProtection/>
  <mergeCells count="7">
    <mergeCell ref="C1:T1"/>
    <mergeCell ref="A5:B5"/>
    <mergeCell ref="A3:T3"/>
    <mergeCell ref="A48:C48"/>
    <mergeCell ref="D5:K5"/>
    <mergeCell ref="L5:R5"/>
    <mergeCell ref="T5:AA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  <colBreaks count="1" manualBreakCount="1">
    <brk id="25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50"/>
  <sheetViews>
    <sheetView zoomScalePageLayoutView="0" workbookViewId="0" topLeftCell="A31">
      <selection activeCell="J9" sqref="J9"/>
    </sheetView>
  </sheetViews>
  <sheetFormatPr defaultColWidth="9.140625" defaultRowHeight="12.75"/>
  <cols>
    <col min="1" max="1" width="8.28125" style="338" customWidth="1"/>
    <col min="2" max="2" width="8.28125" style="332" customWidth="1"/>
    <col min="3" max="3" width="52.00390625" style="332" customWidth="1"/>
    <col min="4" max="4" width="8.28125" style="332" bestFit="1" customWidth="1"/>
    <col min="5" max="8" width="8.28125" style="332" hidden="1" customWidth="1"/>
    <col min="9" max="9" width="8.28125" style="332" customWidth="1"/>
    <col min="10" max="10" width="9.8515625" style="332" customWidth="1"/>
    <col min="11" max="11" width="9.7109375" style="332" customWidth="1"/>
    <col min="12" max="12" width="8.28125" style="332" customWidth="1"/>
    <col min="13" max="16" width="8.28125" style="332" hidden="1" customWidth="1"/>
    <col min="17" max="19" width="9.421875" style="332" customWidth="1"/>
    <col min="20" max="20" width="13.57421875" style="332" bestFit="1" customWidth="1"/>
    <col min="21" max="21" width="6.28125" style="332" customWidth="1"/>
    <col min="22" max="22" width="7.140625" style="332" hidden="1" customWidth="1"/>
    <col min="23" max="23" width="8.57421875" style="332" customWidth="1"/>
    <col min="24" max="24" width="9.140625" style="332" customWidth="1"/>
    <col min="25" max="16384" width="9.140625" style="332" customWidth="1"/>
  </cols>
  <sheetData>
    <row r="1" spans="1:20" s="151" customFormat="1" ht="21" customHeight="1">
      <c r="A1" s="147"/>
      <c r="B1" s="148"/>
      <c r="C1" s="149"/>
      <c r="D1" s="150"/>
      <c r="E1" s="150"/>
      <c r="F1" s="150"/>
      <c r="G1" s="150"/>
      <c r="H1" s="150"/>
      <c r="I1" s="150"/>
      <c r="J1" s="150"/>
      <c r="K1" s="150"/>
      <c r="L1" s="1182" t="s">
        <v>209</v>
      </c>
      <c r="M1" s="1182"/>
      <c r="N1" s="1182"/>
      <c r="O1" s="1182"/>
      <c r="P1" s="1182"/>
      <c r="Q1" s="1182"/>
      <c r="R1" s="1182"/>
      <c r="S1" s="1182"/>
      <c r="T1" s="1182"/>
    </row>
    <row r="2" spans="1:11" s="151" customFormat="1" ht="21" customHeight="1">
      <c r="A2" s="264"/>
      <c r="B2" s="148"/>
      <c r="C2" s="153"/>
      <c r="D2" s="152"/>
      <c r="E2" s="152"/>
      <c r="F2" s="152"/>
      <c r="G2" s="152"/>
      <c r="H2" s="152"/>
      <c r="I2" s="152"/>
      <c r="J2" s="152"/>
      <c r="K2" s="152"/>
    </row>
    <row r="3" spans="1:20" s="154" customFormat="1" ht="25.5" customHeight="1">
      <c r="A3" s="1185" t="s">
        <v>229</v>
      </c>
      <c r="B3" s="1185"/>
      <c r="C3" s="1185"/>
      <c r="D3" s="1185"/>
      <c r="E3" s="1185"/>
      <c r="F3" s="1185"/>
      <c r="G3" s="1185"/>
      <c r="H3" s="1185"/>
      <c r="I3" s="1185"/>
      <c r="J3" s="1185"/>
      <c r="K3" s="1185"/>
      <c r="L3" s="1185"/>
      <c r="M3" s="1185"/>
      <c r="N3" s="1185"/>
      <c r="O3" s="1185"/>
      <c r="P3" s="1185"/>
      <c r="Q3" s="1185"/>
      <c r="R3" s="1185"/>
      <c r="S3" s="1185"/>
      <c r="T3" s="1185"/>
    </row>
    <row r="4" spans="1:20" s="157" customFormat="1" ht="15.75" customHeight="1" thickBot="1">
      <c r="A4" s="155"/>
      <c r="B4" s="155"/>
      <c r="C4" s="155"/>
      <c r="T4" s="156" t="s">
        <v>62</v>
      </c>
    </row>
    <row r="5" spans="1:23" s="157" customFormat="1" ht="41.25" customHeight="1" thickBot="1">
      <c r="A5" s="155"/>
      <c r="B5" s="155"/>
      <c r="C5" s="155"/>
      <c r="D5" s="1192" t="s">
        <v>5</v>
      </c>
      <c r="E5" s="1193"/>
      <c r="F5" s="1193"/>
      <c r="G5" s="1193"/>
      <c r="H5" s="1193"/>
      <c r="I5" s="1193"/>
      <c r="J5" s="1193"/>
      <c r="K5" s="1194"/>
      <c r="L5" s="1192" t="s">
        <v>111</v>
      </c>
      <c r="M5" s="1193"/>
      <c r="N5" s="1193"/>
      <c r="O5" s="1193"/>
      <c r="P5" s="1193"/>
      <c r="Q5" s="1193"/>
      <c r="R5" s="1195"/>
      <c r="S5" s="1194"/>
      <c r="T5" s="1192" t="s">
        <v>159</v>
      </c>
      <c r="U5" s="1193"/>
      <c r="V5" s="1193"/>
      <c r="W5" s="1193"/>
    </row>
    <row r="6" spans="1:23" ht="24.75" thickBot="1">
      <c r="A6" s="1183" t="s">
        <v>113</v>
      </c>
      <c r="B6" s="1184"/>
      <c r="C6" s="525" t="s">
        <v>114</v>
      </c>
      <c r="D6" s="517" t="s">
        <v>71</v>
      </c>
      <c r="E6" s="158" t="s">
        <v>245</v>
      </c>
      <c r="F6" s="158" t="s">
        <v>248</v>
      </c>
      <c r="G6" s="158" t="s">
        <v>251</v>
      </c>
      <c r="H6" s="525" t="s">
        <v>267</v>
      </c>
      <c r="I6" s="525" t="s">
        <v>271</v>
      </c>
      <c r="J6" s="488" t="s">
        <v>254</v>
      </c>
      <c r="K6" s="487" t="s">
        <v>255</v>
      </c>
      <c r="L6" s="517" t="s">
        <v>71</v>
      </c>
      <c r="M6" s="158" t="s">
        <v>245</v>
      </c>
      <c r="N6" s="158" t="s">
        <v>248</v>
      </c>
      <c r="O6" s="158" t="s">
        <v>251</v>
      </c>
      <c r="P6" s="525" t="s">
        <v>267</v>
      </c>
      <c r="Q6" s="525" t="s">
        <v>271</v>
      </c>
      <c r="R6" s="488" t="s">
        <v>254</v>
      </c>
      <c r="S6" s="488" t="s">
        <v>255</v>
      </c>
      <c r="T6" s="517" t="s">
        <v>71</v>
      </c>
      <c r="U6" s="525" t="s">
        <v>271</v>
      </c>
      <c r="V6" s="158" t="s">
        <v>264</v>
      </c>
      <c r="W6" s="488" t="s">
        <v>254</v>
      </c>
    </row>
    <row r="7" spans="1:23" s="163" customFormat="1" ht="12.75" customHeight="1" thickBot="1">
      <c r="A7" s="160">
        <v>1</v>
      </c>
      <c r="B7" s="161">
        <v>2</v>
      </c>
      <c r="C7" s="317">
        <v>3</v>
      </c>
      <c r="D7" s="160">
        <v>4</v>
      </c>
      <c r="E7" s="161">
        <v>5</v>
      </c>
      <c r="F7" s="161">
        <v>6</v>
      </c>
      <c r="G7" s="161">
        <v>7</v>
      </c>
      <c r="H7" s="317">
        <v>8</v>
      </c>
      <c r="I7" s="317">
        <v>5</v>
      </c>
      <c r="J7" s="162">
        <v>6</v>
      </c>
      <c r="K7" s="844">
        <v>7</v>
      </c>
      <c r="L7" s="160">
        <v>8</v>
      </c>
      <c r="M7" s="161">
        <v>11</v>
      </c>
      <c r="N7" s="161">
        <v>12</v>
      </c>
      <c r="O7" s="161">
        <v>13</v>
      </c>
      <c r="P7" s="317">
        <v>14</v>
      </c>
      <c r="Q7" s="162">
        <v>9</v>
      </c>
      <c r="R7" s="532">
        <v>10</v>
      </c>
      <c r="S7" s="532">
        <v>11</v>
      </c>
      <c r="T7" s="160">
        <v>12</v>
      </c>
      <c r="U7" s="161">
        <v>13</v>
      </c>
      <c r="V7" s="162">
        <v>18</v>
      </c>
      <c r="W7" s="532">
        <v>14</v>
      </c>
    </row>
    <row r="8" spans="1:23" s="163" customFormat="1" ht="15.75" customHeight="1" thickBot="1">
      <c r="A8" s="164"/>
      <c r="B8" s="165"/>
      <c r="C8" s="165" t="s">
        <v>115</v>
      </c>
      <c r="D8" s="494"/>
      <c r="E8" s="494"/>
      <c r="F8" s="541"/>
      <c r="G8" s="541"/>
      <c r="H8" s="925"/>
      <c r="I8" s="925"/>
      <c r="J8" s="850"/>
      <c r="K8" s="845"/>
      <c r="L8" s="543"/>
      <c r="M8" s="494"/>
      <c r="N8" s="288"/>
      <c r="O8" s="288"/>
      <c r="P8" s="933"/>
      <c r="Q8" s="289"/>
      <c r="R8" s="533"/>
      <c r="S8" s="533"/>
      <c r="T8" s="543"/>
      <c r="U8" s="288"/>
      <c r="V8" s="289"/>
      <c r="W8" s="533"/>
    </row>
    <row r="9" spans="1:23" s="169" customFormat="1" ht="12" customHeight="1" thickBot="1">
      <c r="A9" s="160" t="s">
        <v>30</v>
      </c>
      <c r="B9" s="166"/>
      <c r="C9" s="526" t="s">
        <v>368</v>
      </c>
      <c r="D9" s="495">
        <v>34609</v>
      </c>
      <c r="E9" s="495">
        <v>34609</v>
      </c>
      <c r="F9" s="495">
        <f>34609+26</f>
        <v>34635</v>
      </c>
      <c r="G9" s="495">
        <f>34609+26+3959</f>
        <v>38594</v>
      </c>
      <c r="H9" s="495">
        <f>34609+26+3959</f>
        <v>38594</v>
      </c>
      <c r="I9" s="926">
        <v>38699</v>
      </c>
      <c r="J9" s="926">
        <v>37152</v>
      </c>
      <c r="K9" s="412">
        <f>J9/I9</f>
        <v>0.9600248068425541</v>
      </c>
      <c r="L9" s="495">
        <v>34609</v>
      </c>
      <c r="M9" s="495">
        <v>34609</v>
      </c>
      <c r="N9" s="495">
        <f>34609+26</f>
        <v>34635</v>
      </c>
      <c r="O9" s="495">
        <f>34609+26+3959</f>
        <v>38594</v>
      </c>
      <c r="P9" s="495">
        <f>34609+26+3959</f>
        <v>38594</v>
      </c>
      <c r="Q9" s="926">
        <v>38699</v>
      </c>
      <c r="R9" s="926">
        <v>37152</v>
      </c>
      <c r="S9" s="412">
        <f>R9/Q9</f>
        <v>0.9600248068425541</v>
      </c>
      <c r="T9" s="495"/>
      <c r="U9" s="231"/>
      <c r="V9" s="168"/>
      <c r="W9" s="489"/>
    </row>
    <row r="10" spans="1:23" s="169" customFormat="1" ht="12" customHeight="1" thickBot="1">
      <c r="A10" s="160" t="s">
        <v>31</v>
      </c>
      <c r="B10" s="166"/>
      <c r="C10" s="526" t="s">
        <v>122</v>
      </c>
      <c r="D10" s="495">
        <f>D11+D13</f>
        <v>0</v>
      </c>
      <c r="E10" s="495">
        <f>E11+E13</f>
        <v>0</v>
      </c>
      <c r="F10" s="495">
        <f>F11+F13</f>
        <v>0</v>
      </c>
      <c r="G10" s="495">
        <f>G11+G13</f>
        <v>0</v>
      </c>
      <c r="H10" s="495">
        <f>H11+H13</f>
        <v>0</v>
      </c>
      <c r="I10" s="926"/>
      <c r="J10" s="926"/>
      <c r="K10" s="290">
        <f aca="true" t="shared" si="0" ref="K10:P10">K11+K13</f>
        <v>0</v>
      </c>
      <c r="L10" s="495">
        <f t="shared" si="0"/>
        <v>0</v>
      </c>
      <c r="M10" s="495">
        <f t="shared" si="0"/>
        <v>0</v>
      </c>
      <c r="N10" s="495">
        <f t="shared" si="0"/>
        <v>0</v>
      </c>
      <c r="O10" s="495">
        <f t="shared" si="0"/>
        <v>0</v>
      </c>
      <c r="P10" s="495">
        <f t="shared" si="0"/>
        <v>0</v>
      </c>
      <c r="Q10" s="926"/>
      <c r="R10" s="926"/>
      <c r="S10" s="412"/>
      <c r="T10" s="495"/>
      <c r="U10" s="231"/>
      <c r="V10" s="168"/>
      <c r="W10" s="489"/>
    </row>
    <row r="11" spans="1:23" s="175" customFormat="1" ht="12" customHeight="1">
      <c r="A11" s="172"/>
      <c r="B11" s="171" t="s">
        <v>42</v>
      </c>
      <c r="C11" s="507" t="s">
        <v>78</v>
      </c>
      <c r="D11" s="497"/>
      <c r="E11" s="497"/>
      <c r="F11" s="497"/>
      <c r="G11" s="497"/>
      <c r="H11" s="497"/>
      <c r="I11" s="927"/>
      <c r="J11" s="927"/>
      <c r="K11" s="846"/>
      <c r="L11" s="497"/>
      <c r="M11" s="497"/>
      <c r="N11" s="497"/>
      <c r="O11" s="497"/>
      <c r="P11" s="497"/>
      <c r="Q11" s="927"/>
      <c r="R11" s="927"/>
      <c r="S11" s="813"/>
      <c r="T11" s="497"/>
      <c r="U11" s="232"/>
      <c r="V11" s="174"/>
      <c r="W11" s="518"/>
    </row>
    <row r="12" spans="1:23" s="175" customFormat="1" ht="12" customHeight="1">
      <c r="A12" s="172"/>
      <c r="B12" s="171" t="s">
        <v>43</v>
      </c>
      <c r="C12" s="508" t="s">
        <v>125</v>
      </c>
      <c r="D12" s="497"/>
      <c r="E12" s="497"/>
      <c r="F12" s="497"/>
      <c r="G12" s="497"/>
      <c r="H12" s="497"/>
      <c r="I12" s="927"/>
      <c r="J12" s="927"/>
      <c r="K12" s="846"/>
      <c r="L12" s="497"/>
      <c r="M12" s="497"/>
      <c r="N12" s="497"/>
      <c r="O12" s="497"/>
      <c r="P12" s="497"/>
      <c r="Q12" s="927"/>
      <c r="R12" s="927"/>
      <c r="S12" s="813"/>
      <c r="T12" s="497"/>
      <c r="U12" s="232"/>
      <c r="V12" s="174"/>
      <c r="W12" s="518"/>
    </row>
    <row r="13" spans="1:23" s="175" customFormat="1" ht="12" customHeight="1">
      <c r="A13" s="172"/>
      <c r="B13" s="171" t="s">
        <v>44</v>
      </c>
      <c r="C13" s="508" t="s">
        <v>79</v>
      </c>
      <c r="D13" s="497"/>
      <c r="E13" s="497"/>
      <c r="F13" s="497"/>
      <c r="G13" s="497"/>
      <c r="H13" s="497"/>
      <c r="I13" s="927"/>
      <c r="J13" s="927"/>
      <c r="K13" s="846"/>
      <c r="L13" s="497"/>
      <c r="M13" s="497"/>
      <c r="N13" s="497"/>
      <c r="O13" s="497"/>
      <c r="P13" s="497"/>
      <c r="Q13" s="927"/>
      <c r="R13" s="927"/>
      <c r="S13" s="813"/>
      <c r="T13" s="497"/>
      <c r="U13" s="232"/>
      <c r="V13" s="174"/>
      <c r="W13" s="518"/>
    </row>
    <row r="14" spans="1:23" s="175" customFormat="1" ht="12" customHeight="1" thickBot="1">
      <c r="A14" s="172"/>
      <c r="B14" s="171" t="s">
        <v>298</v>
      </c>
      <c r="C14" s="508" t="s">
        <v>125</v>
      </c>
      <c r="D14" s="497"/>
      <c r="E14" s="497"/>
      <c r="F14" s="497"/>
      <c r="G14" s="497"/>
      <c r="H14" s="497"/>
      <c r="I14" s="927"/>
      <c r="J14" s="927"/>
      <c r="K14" s="846"/>
      <c r="L14" s="497"/>
      <c r="M14" s="497"/>
      <c r="N14" s="497"/>
      <c r="O14" s="497"/>
      <c r="P14" s="497"/>
      <c r="Q14" s="927"/>
      <c r="R14" s="927"/>
      <c r="S14" s="813"/>
      <c r="T14" s="497"/>
      <c r="U14" s="232"/>
      <c r="V14" s="174"/>
      <c r="W14" s="518"/>
    </row>
    <row r="15" spans="1:23" s="175" customFormat="1" ht="12" customHeight="1" thickBot="1">
      <c r="A15" s="180" t="s">
        <v>10</v>
      </c>
      <c r="B15" s="181"/>
      <c r="C15" s="506" t="s">
        <v>128</v>
      </c>
      <c r="D15" s="495">
        <f aca="true" t="shared" si="1" ref="D15:I15">SUM(D16:D17)</f>
        <v>0</v>
      </c>
      <c r="E15" s="495">
        <f t="shared" si="1"/>
        <v>0</v>
      </c>
      <c r="F15" s="495">
        <f t="shared" si="1"/>
        <v>0</v>
      </c>
      <c r="G15" s="495">
        <f t="shared" si="1"/>
        <v>0</v>
      </c>
      <c r="H15" s="495">
        <f t="shared" si="1"/>
        <v>0</v>
      </c>
      <c r="I15" s="926">
        <f t="shared" si="1"/>
        <v>25</v>
      </c>
      <c r="J15" s="926">
        <f>SUM(J16:J17)</f>
        <v>25</v>
      </c>
      <c r="K15" s="412">
        <f>J15/I15</f>
        <v>1</v>
      </c>
      <c r="L15" s="495">
        <f aca="true" t="shared" si="2" ref="L15:R15">SUM(L16:L17)</f>
        <v>0</v>
      </c>
      <c r="M15" s="495">
        <f t="shared" si="2"/>
        <v>0</v>
      </c>
      <c r="N15" s="495">
        <f t="shared" si="2"/>
        <v>0</v>
      </c>
      <c r="O15" s="495">
        <f t="shared" si="2"/>
        <v>0</v>
      </c>
      <c r="P15" s="495">
        <f t="shared" si="2"/>
        <v>0</v>
      </c>
      <c r="Q15" s="926">
        <f t="shared" si="2"/>
        <v>25</v>
      </c>
      <c r="R15" s="926">
        <f t="shared" si="2"/>
        <v>25</v>
      </c>
      <c r="S15" s="412">
        <f>R15/Q15</f>
        <v>1</v>
      </c>
      <c r="T15" s="495"/>
      <c r="U15" s="231"/>
      <c r="V15" s="168"/>
      <c r="W15" s="489"/>
    </row>
    <row r="16" spans="1:23" s="169" customFormat="1" ht="12" customHeight="1">
      <c r="A16" s="182"/>
      <c r="B16" s="183" t="s">
        <v>45</v>
      </c>
      <c r="C16" s="527" t="s">
        <v>130</v>
      </c>
      <c r="D16" s="498"/>
      <c r="E16" s="498"/>
      <c r="F16" s="498"/>
      <c r="G16" s="498"/>
      <c r="H16" s="498"/>
      <c r="I16" s="928">
        <v>25</v>
      </c>
      <c r="J16" s="928">
        <v>25</v>
      </c>
      <c r="K16" s="843">
        <f>J16/I16</f>
        <v>1</v>
      </c>
      <c r="L16" s="498"/>
      <c r="M16" s="498"/>
      <c r="N16" s="498"/>
      <c r="O16" s="498"/>
      <c r="P16" s="498"/>
      <c r="Q16" s="928">
        <v>25</v>
      </c>
      <c r="R16" s="928">
        <v>25</v>
      </c>
      <c r="S16" s="843">
        <f>R16/Q16</f>
        <v>1</v>
      </c>
      <c r="T16" s="498"/>
      <c r="U16" s="233"/>
      <c r="V16" s="185"/>
      <c r="W16" s="534"/>
    </row>
    <row r="17" spans="1:23" s="169" customFormat="1" ht="12" customHeight="1" thickBot="1">
      <c r="A17" s="186"/>
      <c r="B17" s="187" t="s">
        <v>46</v>
      </c>
      <c r="C17" s="528" t="s">
        <v>132</v>
      </c>
      <c r="D17" s="499"/>
      <c r="E17" s="499"/>
      <c r="F17" s="499"/>
      <c r="G17" s="499"/>
      <c r="H17" s="499"/>
      <c r="I17" s="929"/>
      <c r="J17" s="929"/>
      <c r="K17" s="847"/>
      <c r="L17" s="499"/>
      <c r="M17" s="499"/>
      <c r="N17" s="499"/>
      <c r="O17" s="499"/>
      <c r="P17" s="499"/>
      <c r="Q17" s="929"/>
      <c r="R17" s="929"/>
      <c r="S17" s="814"/>
      <c r="T17" s="499"/>
      <c r="U17" s="234"/>
      <c r="V17" s="189"/>
      <c r="W17" s="535"/>
    </row>
    <row r="18" spans="1:23" s="169" customFormat="1" ht="12" customHeight="1" thickBot="1">
      <c r="A18" s="180"/>
      <c r="B18" s="166"/>
      <c r="D18" s="500"/>
      <c r="E18" s="500"/>
      <c r="F18" s="500"/>
      <c r="G18" s="500"/>
      <c r="H18" s="500"/>
      <c r="I18" s="930"/>
      <c r="J18" s="930"/>
      <c r="K18" s="287"/>
      <c r="L18" s="500"/>
      <c r="M18" s="500"/>
      <c r="N18" s="500"/>
      <c r="O18" s="500"/>
      <c r="P18" s="500"/>
      <c r="Q18" s="930"/>
      <c r="R18" s="930"/>
      <c r="S18" s="815"/>
      <c r="T18" s="500"/>
      <c r="U18" s="235"/>
      <c r="V18" s="190"/>
      <c r="W18" s="490"/>
    </row>
    <row r="19" spans="1:23" s="169" customFormat="1" ht="12" customHeight="1" thickBot="1">
      <c r="A19" s="160" t="s">
        <v>11</v>
      </c>
      <c r="B19" s="191"/>
      <c r="C19" s="506" t="s">
        <v>299</v>
      </c>
      <c r="D19" s="495">
        <f aca="true" t="shared" si="3" ref="D19:I19">D9+D10+D15+D18</f>
        <v>34609</v>
      </c>
      <c r="E19" s="495">
        <f t="shared" si="3"/>
        <v>34609</v>
      </c>
      <c r="F19" s="495">
        <f t="shared" si="3"/>
        <v>34635</v>
      </c>
      <c r="G19" s="495">
        <f t="shared" si="3"/>
        <v>38594</v>
      </c>
      <c r="H19" s="495">
        <f t="shared" si="3"/>
        <v>38594</v>
      </c>
      <c r="I19" s="495">
        <f t="shared" si="3"/>
        <v>38724</v>
      </c>
      <c r="J19" s="495">
        <f>J9+J10+J15+J18</f>
        <v>37177</v>
      </c>
      <c r="K19" s="412">
        <f>J19/I19</f>
        <v>0.9600506146059291</v>
      </c>
      <c r="L19" s="495">
        <f aca="true" t="shared" si="4" ref="L19:Q19">L9+L10+L15+L18</f>
        <v>34609</v>
      </c>
      <c r="M19" s="495">
        <f t="shared" si="4"/>
        <v>34609</v>
      </c>
      <c r="N19" s="495">
        <f t="shared" si="4"/>
        <v>34635</v>
      </c>
      <c r="O19" s="495">
        <f t="shared" si="4"/>
        <v>38594</v>
      </c>
      <c r="P19" s="495">
        <f t="shared" si="4"/>
        <v>38594</v>
      </c>
      <c r="Q19" s="495">
        <f t="shared" si="4"/>
        <v>38724</v>
      </c>
      <c r="R19" s="495">
        <f>R9+R10+R15+R18</f>
        <v>37177</v>
      </c>
      <c r="S19" s="412">
        <f>R19/Q19</f>
        <v>0.9600506146059291</v>
      </c>
      <c r="T19" s="495"/>
      <c r="U19" s="231"/>
      <c r="V19" s="168"/>
      <c r="W19" s="489"/>
    </row>
    <row r="20" spans="1:23" s="175" customFormat="1" ht="12" customHeight="1" thickBot="1">
      <c r="A20" s="192" t="s">
        <v>12</v>
      </c>
      <c r="B20" s="193"/>
      <c r="C20" s="529" t="s">
        <v>300</v>
      </c>
      <c r="D20" s="501">
        <f aca="true" t="shared" si="5" ref="D20:I20">SUM(D21:D23)</f>
        <v>94785</v>
      </c>
      <c r="E20" s="501">
        <f t="shared" si="5"/>
        <v>94785</v>
      </c>
      <c r="F20" s="501">
        <f t="shared" si="5"/>
        <v>94154</v>
      </c>
      <c r="G20" s="501">
        <f t="shared" si="5"/>
        <v>94154</v>
      </c>
      <c r="H20" s="501">
        <f t="shared" si="5"/>
        <v>95792</v>
      </c>
      <c r="I20" s="501">
        <f t="shared" si="5"/>
        <v>83400</v>
      </c>
      <c r="J20" s="501">
        <f>SUM(J21:J23)</f>
        <v>83400</v>
      </c>
      <c r="K20" s="412">
        <f>J20/I20</f>
        <v>1</v>
      </c>
      <c r="L20" s="501">
        <f aca="true" t="shared" si="6" ref="L20:Q20">SUM(L21:L23)</f>
        <v>94785</v>
      </c>
      <c r="M20" s="501">
        <f t="shared" si="6"/>
        <v>94785</v>
      </c>
      <c r="N20" s="501">
        <f t="shared" si="6"/>
        <v>94154</v>
      </c>
      <c r="O20" s="501">
        <f t="shared" si="6"/>
        <v>94154</v>
      </c>
      <c r="P20" s="501">
        <f t="shared" si="6"/>
        <v>95792</v>
      </c>
      <c r="Q20" s="501">
        <f t="shared" si="6"/>
        <v>83400</v>
      </c>
      <c r="R20" s="501">
        <f>SUM(R21:R23)</f>
        <v>83400</v>
      </c>
      <c r="S20" s="412">
        <f>R20/Q20</f>
        <v>1</v>
      </c>
      <c r="T20" s="495"/>
      <c r="U20" s="231"/>
      <c r="V20" s="168"/>
      <c r="W20" s="489"/>
    </row>
    <row r="21" spans="1:23" s="175" customFormat="1" ht="15" customHeight="1" thickBot="1">
      <c r="A21" s="170"/>
      <c r="B21" s="195" t="s">
        <v>47</v>
      </c>
      <c r="C21" s="527" t="s">
        <v>137</v>
      </c>
      <c r="D21" s="498">
        <v>9302</v>
      </c>
      <c r="E21" s="498">
        <v>9302</v>
      </c>
      <c r="F21" s="498">
        <v>9302</v>
      </c>
      <c r="G21" s="498">
        <v>9302</v>
      </c>
      <c r="H21" s="498">
        <f>9302-1687</f>
        <v>7615</v>
      </c>
      <c r="I21" s="928">
        <v>7080</v>
      </c>
      <c r="J21" s="928">
        <v>7080</v>
      </c>
      <c r="K21" s="843">
        <f>J21/I21</f>
        <v>1</v>
      </c>
      <c r="L21" s="498">
        <v>9302</v>
      </c>
      <c r="M21" s="498">
        <v>9302</v>
      </c>
      <c r="N21" s="498">
        <v>9302</v>
      </c>
      <c r="O21" s="498">
        <v>9302</v>
      </c>
      <c r="P21" s="498">
        <f>9302-1687</f>
        <v>7615</v>
      </c>
      <c r="Q21" s="928">
        <v>7080</v>
      </c>
      <c r="R21" s="928">
        <v>7080</v>
      </c>
      <c r="S21" s="843">
        <f>R21/Q21</f>
        <v>1</v>
      </c>
      <c r="T21" s="504"/>
      <c r="U21" s="505"/>
      <c r="V21" s="292"/>
      <c r="W21" s="536"/>
    </row>
    <row r="22" spans="1:23" s="175" customFormat="1" ht="15" customHeight="1">
      <c r="A22" s="648"/>
      <c r="B22" s="649" t="s">
        <v>48</v>
      </c>
      <c r="C22" s="527" t="s">
        <v>301</v>
      </c>
      <c r="D22" s="650">
        <v>85483</v>
      </c>
      <c r="E22" s="650">
        <v>85483</v>
      </c>
      <c r="F22" s="650">
        <f>85483+119-750</f>
        <v>84852</v>
      </c>
      <c r="G22" s="650">
        <f>85483+119-750</f>
        <v>84852</v>
      </c>
      <c r="H22" s="650">
        <f>85483+119-750+1638+1687</f>
        <v>88177</v>
      </c>
      <c r="I22" s="931">
        <v>76320</v>
      </c>
      <c r="J22" s="931">
        <v>76320</v>
      </c>
      <c r="K22" s="843">
        <f>J22/I22</f>
        <v>1</v>
      </c>
      <c r="L22" s="650">
        <v>85483</v>
      </c>
      <c r="M22" s="650">
        <v>85483</v>
      </c>
      <c r="N22" s="650">
        <v>84852</v>
      </c>
      <c r="O22" s="650">
        <f>85483+119-750</f>
        <v>84852</v>
      </c>
      <c r="P22" s="650">
        <f>85483+119-750+1638+1687</f>
        <v>88177</v>
      </c>
      <c r="Q22" s="931">
        <v>76320</v>
      </c>
      <c r="R22" s="931">
        <v>76320</v>
      </c>
      <c r="S22" s="843">
        <f>R22/Q22</f>
        <v>1</v>
      </c>
      <c r="T22" s="652"/>
      <c r="U22" s="653"/>
      <c r="V22" s="654"/>
      <c r="W22" s="655"/>
    </row>
    <row r="23" spans="1:23" s="175" customFormat="1" ht="15" customHeight="1" thickBot="1">
      <c r="A23" s="196"/>
      <c r="B23" s="197" t="s">
        <v>77</v>
      </c>
      <c r="C23" s="530" t="s">
        <v>139</v>
      </c>
      <c r="D23" s="502"/>
      <c r="E23" s="502"/>
      <c r="F23" s="502"/>
      <c r="G23" s="502"/>
      <c r="H23" s="502"/>
      <c r="I23" s="932"/>
      <c r="J23" s="932"/>
      <c r="K23" s="848"/>
      <c r="L23" s="502"/>
      <c r="M23" s="502"/>
      <c r="N23" s="502"/>
      <c r="O23" s="502"/>
      <c r="P23" s="502"/>
      <c r="Q23" s="932"/>
      <c r="R23" s="932"/>
      <c r="S23" s="816"/>
      <c r="T23" s="502"/>
      <c r="U23" s="237"/>
      <c r="V23" s="199"/>
      <c r="W23" s="537"/>
    </row>
    <row r="24" spans="1:23" ht="13.5" thickBot="1">
      <c r="A24" s="200" t="s">
        <v>13</v>
      </c>
      <c r="B24" s="333"/>
      <c r="C24" s="510" t="s">
        <v>140</v>
      </c>
      <c r="D24" s="500"/>
      <c r="E24" s="500"/>
      <c r="F24" s="500"/>
      <c r="G24" s="500"/>
      <c r="H24" s="500"/>
      <c r="I24" s="930"/>
      <c r="J24" s="930"/>
      <c r="K24" s="287"/>
      <c r="L24" s="500"/>
      <c r="M24" s="500"/>
      <c r="N24" s="500"/>
      <c r="O24" s="500"/>
      <c r="P24" s="500"/>
      <c r="Q24" s="930"/>
      <c r="R24" s="930"/>
      <c r="S24" s="815"/>
      <c r="T24" s="500"/>
      <c r="U24" s="235"/>
      <c r="V24" s="190"/>
      <c r="W24" s="490"/>
    </row>
    <row r="25" spans="1:23" s="163" customFormat="1" ht="16.5" customHeight="1" thickBot="1">
      <c r="A25" s="200" t="s">
        <v>13</v>
      </c>
      <c r="B25" s="334"/>
      <c r="C25" s="531" t="s">
        <v>302</v>
      </c>
      <c r="D25" s="503">
        <f aca="true" t="shared" si="7" ref="D25:I25">D19+D24+D20</f>
        <v>129394</v>
      </c>
      <c r="E25" s="503">
        <f t="shared" si="7"/>
        <v>129394</v>
      </c>
      <c r="F25" s="503">
        <f t="shared" si="7"/>
        <v>128789</v>
      </c>
      <c r="G25" s="503">
        <f t="shared" si="7"/>
        <v>132748</v>
      </c>
      <c r="H25" s="503">
        <f t="shared" si="7"/>
        <v>134386</v>
      </c>
      <c r="I25" s="503">
        <f t="shared" si="7"/>
        <v>122124</v>
      </c>
      <c r="J25" s="503">
        <f>J19+J24+J20</f>
        <v>120577</v>
      </c>
      <c r="K25" s="412">
        <f>J25/I25</f>
        <v>0.9873325472470603</v>
      </c>
      <c r="L25" s="503">
        <f aca="true" t="shared" si="8" ref="L25:Q25">L19+L24+L20</f>
        <v>129394</v>
      </c>
      <c r="M25" s="503">
        <f t="shared" si="8"/>
        <v>129394</v>
      </c>
      <c r="N25" s="503">
        <f t="shared" si="8"/>
        <v>128789</v>
      </c>
      <c r="O25" s="503">
        <f t="shared" si="8"/>
        <v>132748</v>
      </c>
      <c r="P25" s="503">
        <f t="shared" si="8"/>
        <v>134386</v>
      </c>
      <c r="Q25" s="503">
        <f t="shared" si="8"/>
        <v>122124</v>
      </c>
      <c r="R25" s="503">
        <f>R19+R24+R20</f>
        <v>120577</v>
      </c>
      <c r="S25" s="412">
        <f>R25/Q25</f>
        <v>0.9873325472470603</v>
      </c>
      <c r="T25" s="503"/>
      <c r="U25" s="238"/>
      <c r="V25" s="223"/>
      <c r="W25" s="205"/>
    </row>
    <row r="26" spans="1:22" s="209" customFormat="1" ht="12" customHeight="1">
      <c r="A26" s="206"/>
      <c r="B26" s="206"/>
      <c r="C26" s="207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</row>
    <row r="27" spans="1:22" ht="12" customHeight="1" thickBot="1">
      <c r="A27" s="210"/>
      <c r="B27" s="211"/>
      <c r="C27" s="211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</row>
    <row r="28" spans="1:23" ht="12" customHeight="1" thickBot="1">
      <c r="A28" s="213"/>
      <c r="B28" s="214"/>
      <c r="C28" s="215" t="s">
        <v>142</v>
      </c>
      <c r="D28" s="503"/>
      <c r="E28" s="503"/>
      <c r="F28" s="238"/>
      <c r="G28" s="238"/>
      <c r="H28" s="238"/>
      <c r="I28" s="238"/>
      <c r="J28" s="238"/>
      <c r="K28" s="223"/>
      <c r="L28" s="503"/>
      <c r="M28" s="503"/>
      <c r="N28" s="238"/>
      <c r="O28" s="238"/>
      <c r="P28" s="238"/>
      <c r="Q28" s="238"/>
      <c r="R28" s="955"/>
      <c r="S28" s="223"/>
      <c r="T28" s="503"/>
      <c r="U28" s="238"/>
      <c r="V28" s="223"/>
      <c r="W28" s="205"/>
    </row>
    <row r="29" spans="1:23" ht="12" customHeight="1" thickBot="1">
      <c r="A29" s="180" t="s">
        <v>30</v>
      </c>
      <c r="B29" s="216"/>
      <c r="C29" s="506" t="s">
        <v>143</v>
      </c>
      <c r="D29" s="495">
        <f aca="true" t="shared" si="9" ref="D29:N29">SUM(D30:D34)</f>
        <v>127807</v>
      </c>
      <c r="E29" s="495">
        <f t="shared" si="9"/>
        <v>127807</v>
      </c>
      <c r="F29" s="495">
        <f>SUM(F30:F34)</f>
        <v>127952</v>
      </c>
      <c r="G29" s="495">
        <f>SUM(G30:G34)</f>
        <v>131911</v>
      </c>
      <c r="H29" s="495">
        <f>SUM(H30:H34)</f>
        <v>133549</v>
      </c>
      <c r="I29" s="495">
        <f>SUM(I30:I34)</f>
        <v>121667</v>
      </c>
      <c r="J29" s="495">
        <f>SUM(J30:J34)</f>
        <v>119305</v>
      </c>
      <c r="K29" s="412">
        <f>J29/I29</f>
        <v>0.9805863545579327</v>
      </c>
      <c r="L29" s="495">
        <f t="shared" si="9"/>
        <v>127807</v>
      </c>
      <c r="M29" s="495">
        <f t="shared" si="9"/>
        <v>127807</v>
      </c>
      <c r="N29" s="495">
        <f t="shared" si="9"/>
        <v>127952</v>
      </c>
      <c r="O29" s="495">
        <f>SUM(O30:O34)</f>
        <v>131911</v>
      </c>
      <c r="P29" s="495">
        <f>SUM(P30:P34)</f>
        <v>133549</v>
      </c>
      <c r="Q29" s="495">
        <f>SUM(Q30:Q34)</f>
        <v>121667</v>
      </c>
      <c r="R29" s="495">
        <f>SUM(R30:R34)</f>
        <v>119305</v>
      </c>
      <c r="S29" s="412">
        <f>R29/Q29</f>
        <v>0.9805863545579327</v>
      </c>
      <c r="T29" s="495"/>
      <c r="U29" s="231"/>
      <c r="V29" s="168"/>
      <c r="W29" s="489"/>
    </row>
    <row r="30" spans="1:23" ht="12" customHeight="1">
      <c r="A30" s="217"/>
      <c r="B30" s="218" t="s">
        <v>117</v>
      </c>
      <c r="C30" s="507" t="s">
        <v>144</v>
      </c>
      <c r="D30" s="513">
        <v>61470</v>
      </c>
      <c r="E30" s="513">
        <v>61470</v>
      </c>
      <c r="F30" s="513">
        <v>61470</v>
      </c>
      <c r="G30" s="513">
        <v>61470</v>
      </c>
      <c r="H30" s="513">
        <f>61470+1427-617</f>
        <v>62280</v>
      </c>
      <c r="I30" s="239">
        <v>57037</v>
      </c>
      <c r="J30" s="239">
        <v>56178</v>
      </c>
      <c r="K30" s="843">
        <f>J30/I30</f>
        <v>0.9849396006101303</v>
      </c>
      <c r="L30" s="513">
        <v>61470</v>
      </c>
      <c r="M30" s="513">
        <v>61470</v>
      </c>
      <c r="N30" s="513">
        <v>61470</v>
      </c>
      <c r="O30" s="513">
        <v>61470</v>
      </c>
      <c r="P30" s="513">
        <f>61470+1427-617</f>
        <v>62280</v>
      </c>
      <c r="Q30" s="239">
        <v>57037</v>
      </c>
      <c r="R30" s="239">
        <v>56178</v>
      </c>
      <c r="S30" s="843">
        <f>R30/Q30</f>
        <v>0.9849396006101303</v>
      </c>
      <c r="T30" s="497"/>
      <c r="U30" s="232"/>
      <c r="V30" s="174"/>
      <c r="W30" s="518"/>
    </row>
    <row r="31" spans="1:23" ht="12" customHeight="1">
      <c r="A31" s="219"/>
      <c r="B31" s="220" t="s">
        <v>118</v>
      </c>
      <c r="C31" s="508" t="s">
        <v>54</v>
      </c>
      <c r="D31" s="514">
        <v>16936</v>
      </c>
      <c r="E31" s="514">
        <v>16936</v>
      </c>
      <c r="F31" s="514">
        <v>16936</v>
      </c>
      <c r="G31" s="514">
        <v>16936</v>
      </c>
      <c r="H31" s="514">
        <f>16936+385-166</f>
        <v>17155</v>
      </c>
      <c r="I31" s="240">
        <v>15454</v>
      </c>
      <c r="J31" s="240">
        <v>15293</v>
      </c>
      <c r="K31" s="843">
        <f>J31/I31</f>
        <v>0.9895819852465381</v>
      </c>
      <c r="L31" s="514">
        <v>16936</v>
      </c>
      <c r="M31" s="514">
        <v>16936</v>
      </c>
      <c r="N31" s="514">
        <v>16936</v>
      </c>
      <c r="O31" s="514">
        <v>16936</v>
      </c>
      <c r="P31" s="514">
        <f>16936+385-166</f>
        <v>17155</v>
      </c>
      <c r="Q31" s="240">
        <v>15454</v>
      </c>
      <c r="R31" s="240">
        <v>15293</v>
      </c>
      <c r="S31" s="843">
        <f>R31/Q31</f>
        <v>0.9895819852465381</v>
      </c>
      <c r="T31" s="497"/>
      <c r="U31" s="232"/>
      <c r="V31" s="174"/>
      <c r="W31" s="518"/>
    </row>
    <row r="32" spans="1:23" ht="12" customHeight="1">
      <c r="A32" s="219"/>
      <c r="B32" s="220" t="s">
        <v>119</v>
      </c>
      <c r="C32" s="508" t="s">
        <v>145</v>
      </c>
      <c r="D32" s="514">
        <v>49401</v>
      </c>
      <c r="E32" s="514">
        <v>49401</v>
      </c>
      <c r="F32" s="514">
        <f>49401+26+119</f>
        <v>49546</v>
      </c>
      <c r="G32" s="514">
        <f>49401+26+119+3830</f>
        <v>53376</v>
      </c>
      <c r="H32" s="514">
        <f>49401+26+119+3830+609</f>
        <v>53985</v>
      </c>
      <c r="I32" s="240">
        <v>49047</v>
      </c>
      <c r="J32" s="240">
        <v>47705</v>
      </c>
      <c r="K32" s="843">
        <f>J32/I32</f>
        <v>0.9726384896120048</v>
      </c>
      <c r="L32" s="514">
        <v>49401</v>
      </c>
      <c r="M32" s="514">
        <v>49401</v>
      </c>
      <c r="N32" s="514">
        <f>49401+26+119</f>
        <v>49546</v>
      </c>
      <c r="O32" s="514">
        <f>49401+26+119+3830</f>
        <v>53376</v>
      </c>
      <c r="P32" s="514">
        <f>49401+26+119+3830+609</f>
        <v>53985</v>
      </c>
      <c r="Q32" s="240">
        <v>49047</v>
      </c>
      <c r="R32" s="240">
        <v>47705</v>
      </c>
      <c r="S32" s="843">
        <f>R32/Q32</f>
        <v>0.9726384896120048</v>
      </c>
      <c r="T32" s="497"/>
      <c r="U32" s="232"/>
      <c r="V32" s="174"/>
      <c r="W32" s="518"/>
    </row>
    <row r="33" spans="1:23" s="209" customFormat="1" ht="12" customHeight="1">
      <c r="A33" s="219"/>
      <c r="B33" s="220" t="s">
        <v>120</v>
      </c>
      <c r="C33" s="508" t="s">
        <v>87</v>
      </c>
      <c r="D33" s="514"/>
      <c r="E33" s="514"/>
      <c r="F33" s="514"/>
      <c r="G33" s="514"/>
      <c r="H33" s="514"/>
      <c r="I33" s="240"/>
      <c r="J33" s="240"/>
      <c r="K33" s="519"/>
      <c r="L33" s="514"/>
      <c r="M33" s="514"/>
      <c r="N33" s="514"/>
      <c r="O33" s="514"/>
      <c r="P33" s="514"/>
      <c r="Q33" s="240"/>
      <c r="R33" s="240"/>
      <c r="S33" s="843"/>
      <c r="T33" s="497"/>
      <c r="U33" s="232"/>
      <c r="V33" s="174"/>
      <c r="W33" s="518"/>
    </row>
    <row r="34" spans="1:23" ht="12" customHeight="1" thickBot="1">
      <c r="A34" s="219"/>
      <c r="B34" s="220" t="s">
        <v>53</v>
      </c>
      <c r="C34" s="508" t="s">
        <v>89</v>
      </c>
      <c r="D34" s="514"/>
      <c r="E34" s="514"/>
      <c r="F34" s="514"/>
      <c r="G34" s="514">
        <v>129</v>
      </c>
      <c r="H34" s="514">
        <v>129</v>
      </c>
      <c r="I34" s="240">
        <v>129</v>
      </c>
      <c r="J34" s="240">
        <v>129</v>
      </c>
      <c r="K34" s="843">
        <f>J34/I34</f>
        <v>1</v>
      </c>
      <c r="L34" s="514"/>
      <c r="M34" s="514"/>
      <c r="N34" s="514"/>
      <c r="O34" s="514">
        <v>129</v>
      </c>
      <c r="P34" s="514">
        <v>129</v>
      </c>
      <c r="Q34" s="240">
        <v>129</v>
      </c>
      <c r="R34" s="240">
        <v>129</v>
      </c>
      <c r="S34" s="843">
        <f>R34/Q34</f>
        <v>1</v>
      </c>
      <c r="T34" s="514"/>
      <c r="U34" s="240"/>
      <c r="V34" s="221"/>
      <c r="W34" s="519"/>
    </row>
    <row r="35" spans="1:23" ht="12" customHeight="1" thickBot="1">
      <c r="A35" s="180" t="s">
        <v>31</v>
      </c>
      <c r="B35" s="216"/>
      <c r="C35" s="506" t="s">
        <v>146</v>
      </c>
      <c r="D35" s="495">
        <f aca="true" t="shared" si="10" ref="D35:I35">SUM(D36:D40)</f>
        <v>1587</v>
      </c>
      <c r="E35" s="495">
        <f t="shared" si="10"/>
        <v>1587</v>
      </c>
      <c r="F35" s="495">
        <f t="shared" si="10"/>
        <v>837</v>
      </c>
      <c r="G35" s="495">
        <f t="shared" si="10"/>
        <v>837</v>
      </c>
      <c r="H35" s="495">
        <f t="shared" si="10"/>
        <v>837</v>
      </c>
      <c r="I35" s="495">
        <f t="shared" si="10"/>
        <v>457</v>
      </c>
      <c r="J35" s="495">
        <f>SUM(J36:J40)</f>
        <v>456</v>
      </c>
      <c r="K35" s="412">
        <f>J35/I35</f>
        <v>0.9978118161925602</v>
      </c>
      <c r="L35" s="495">
        <f aca="true" t="shared" si="11" ref="L35:R35">SUM(L36:L40)</f>
        <v>1587</v>
      </c>
      <c r="M35" s="495">
        <f t="shared" si="11"/>
        <v>1587</v>
      </c>
      <c r="N35" s="495">
        <f t="shared" si="11"/>
        <v>837</v>
      </c>
      <c r="O35" s="495">
        <f t="shared" si="11"/>
        <v>837</v>
      </c>
      <c r="P35" s="495">
        <f t="shared" si="11"/>
        <v>837</v>
      </c>
      <c r="Q35" s="495">
        <f t="shared" si="11"/>
        <v>457</v>
      </c>
      <c r="R35" s="495">
        <f t="shared" si="11"/>
        <v>456</v>
      </c>
      <c r="S35" s="412">
        <f>R35/Q35</f>
        <v>0.9978118161925602</v>
      </c>
      <c r="T35" s="495"/>
      <c r="U35" s="231"/>
      <c r="V35" s="168"/>
      <c r="W35" s="489"/>
    </row>
    <row r="36" spans="1:23" ht="12" customHeight="1">
      <c r="A36" s="217"/>
      <c r="B36" s="218" t="s">
        <v>147</v>
      </c>
      <c r="C36" s="507" t="s">
        <v>99</v>
      </c>
      <c r="D36" s="513">
        <v>1587</v>
      </c>
      <c r="E36" s="513">
        <v>1587</v>
      </c>
      <c r="F36" s="513">
        <f>1587-750</f>
        <v>837</v>
      </c>
      <c r="G36" s="513">
        <f>1587-750</f>
        <v>837</v>
      </c>
      <c r="H36" s="513">
        <f>1587-750</f>
        <v>837</v>
      </c>
      <c r="I36" s="239">
        <v>457</v>
      </c>
      <c r="J36" s="239">
        <v>456</v>
      </c>
      <c r="K36" s="843">
        <f>J36/I36</f>
        <v>0.9978118161925602</v>
      </c>
      <c r="L36" s="513">
        <v>1587</v>
      </c>
      <c r="M36" s="513">
        <v>1587</v>
      </c>
      <c r="N36" s="513">
        <v>837</v>
      </c>
      <c r="O36" s="513">
        <f>1587-750</f>
        <v>837</v>
      </c>
      <c r="P36" s="513">
        <f>1587-750</f>
        <v>837</v>
      </c>
      <c r="Q36" s="239">
        <v>457</v>
      </c>
      <c r="R36" s="239">
        <v>456</v>
      </c>
      <c r="S36" s="843">
        <f>R36/Q36</f>
        <v>0.9978118161925602</v>
      </c>
      <c r="T36" s="497"/>
      <c r="U36" s="232"/>
      <c r="V36" s="174"/>
      <c r="W36" s="518"/>
    </row>
    <row r="37" spans="1:23" ht="12" customHeight="1">
      <c r="A37" s="217"/>
      <c r="B37" s="218"/>
      <c r="C37" s="507" t="s">
        <v>386</v>
      </c>
      <c r="D37" s="513"/>
      <c r="E37" s="513"/>
      <c r="F37" s="513"/>
      <c r="G37" s="513"/>
      <c r="H37" s="513"/>
      <c r="I37" s="239"/>
      <c r="J37" s="239"/>
      <c r="K37" s="842"/>
      <c r="L37" s="513"/>
      <c r="M37" s="513"/>
      <c r="N37" s="513"/>
      <c r="O37" s="513"/>
      <c r="P37" s="513"/>
      <c r="Q37" s="239"/>
      <c r="R37" s="239"/>
      <c r="S37" s="239"/>
      <c r="T37" s="497"/>
      <c r="U37" s="232"/>
      <c r="V37" s="174"/>
      <c r="W37" s="518"/>
    </row>
    <row r="38" spans="1:23" ht="12" customHeight="1">
      <c r="A38" s="219"/>
      <c r="B38" s="220" t="s">
        <v>148</v>
      </c>
      <c r="C38" s="508" t="s">
        <v>100</v>
      </c>
      <c r="D38" s="514"/>
      <c r="E38" s="514"/>
      <c r="F38" s="514"/>
      <c r="G38" s="514"/>
      <c r="H38" s="514"/>
      <c r="I38" s="240"/>
      <c r="J38" s="240"/>
      <c r="K38" s="519"/>
      <c r="L38" s="514"/>
      <c r="M38" s="514"/>
      <c r="N38" s="514"/>
      <c r="O38" s="514"/>
      <c r="P38" s="514"/>
      <c r="Q38" s="240"/>
      <c r="R38" s="240"/>
      <c r="S38" s="240"/>
      <c r="T38" s="514"/>
      <c r="U38" s="240"/>
      <c r="V38" s="221"/>
      <c r="W38" s="519"/>
    </row>
    <row r="39" spans="1:23" ht="15" customHeight="1">
      <c r="A39" s="219"/>
      <c r="B39" s="220" t="s">
        <v>44</v>
      </c>
      <c r="C39" s="508" t="s">
        <v>150</v>
      </c>
      <c r="D39" s="514"/>
      <c r="E39" s="514"/>
      <c r="F39" s="514"/>
      <c r="G39" s="514"/>
      <c r="H39" s="514"/>
      <c r="I39" s="240"/>
      <c r="J39" s="240"/>
      <c r="K39" s="519"/>
      <c r="L39" s="514"/>
      <c r="M39" s="514"/>
      <c r="N39" s="514"/>
      <c r="O39" s="514"/>
      <c r="P39" s="514"/>
      <c r="Q39" s="240"/>
      <c r="R39" s="240"/>
      <c r="S39" s="240"/>
      <c r="T39" s="514"/>
      <c r="U39" s="240"/>
      <c r="V39" s="221"/>
      <c r="W39" s="519"/>
    </row>
    <row r="40" spans="1:23" ht="13.5" thickBot="1">
      <c r="A40" s="219"/>
      <c r="B40" s="220" t="s">
        <v>298</v>
      </c>
      <c r="C40" s="508" t="s">
        <v>152</v>
      </c>
      <c r="D40" s="514"/>
      <c r="E40" s="514"/>
      <c r="F40" s="514"/>
      <c r="G40" s="514"/>
      <c r="H40" s="514"/>
      <c r="I40" s="240"/>
      <c r="J40" s="240"/>
      <c r="K40" s="519"/>
      <c r="L40" s="514"/>
      <c r="M40" s="514"/>
      <c r="N40" s="514"/>
      <c r="O40" s="514"/>
      <c r="P40" s="514"/>
      <c r="Q40" s="240"/>
      <c r="R40" s="240"/>
      <c r="S40" s="240"/>
      <c r="T40" s="514"/>
      <c r="U40" s="240"/>
      <c r="V40" s="221"/>
      <c r="W40" s="519"/>
    </row>
    <row r="41" spans="1:23" ht="15" customHeight="1" thickBot="1">
      <c r="A41" s="180" t="s">
        <v>10</v>
      </c>
      <c r="B41" s="216"/>
      <c r="C41" s="509" t="s">
        <v>153</v>
      </c>
      <c r="D41" s="500"/>
      <c r="E41" s="500"/>
      <c r="F41" s="500"/>
      <c r="G41" s="500"/>
      <c r="H41" s="500"/>
      <c r="I41" s="235"/>
      <c r="J41" s="235"/>
      <c r="K41" s="490"/>
      <c r="L41" s="500"/>
      <c r="M41" s="500"/>
      <c r="N41" s="500"/>
      <c r="O41" s="500"/>
      <c r="P41" s="500"/>
      <c r="Q41" s="235"/>
      <c r="R41" s="235"/>
      <c r="S41" s="235"/>
      <c r="T41" s="500"/>
      <c r="U41" s="235"/>
      <c r="V41" s="190"/>
      <c r="W41" s="490"/>
    </row>
    <row r="42" spans="1:23" ht="14.25" customHeight="1" thickBot="1">
      <c r="A42" s="200" t="s">
        <v>11</v>
      </c>
      <c r="B42" s="333"/>
      <c r="C42" s="510" t="s">
        <v>154</v>
      </c>
      <c r="D42" s="500"/>
      <c r="E42" s="500"/>
      <c r="F42" s="500"/>
      <c r="G42" s="500"/>
      <c r="H42" s="500"/>
      <c r="I42" s="235"/>
      <c r="J42" s="235"/>
      <c r="K42" s="490"/>
      <c r="L42" s="500"/>
      <c r="M42" s="500"/>
      <c r="N42" s="500"/>
      <c r="O42" s="500"/>
      <c r="P42" s="500"/>
      <c r="Q42" s="235"/>
      <c r="R42" s="235"/>
      <c r="S42" s="235"/>
      <c r="T42" s="500"/>
      <c r="U42" s="235"/>
      <c r="V42" s="190"/>
      <c r="W42" s="490"/>
    </row>
    <row r="43" spans="1:23" ht="13.5" thickBot="1">
      <c r="A43" s="180" t="s">
        <v>10</v>
      </c>
      <c r="B43" s="222"/>
      <c r="C43" s="511" t="s">
        <v>303</v>
      </c>
      <c r="D43" s="503">
        <f aca="true" t="shared" si="12" ref="D43:N43">D29+D35+D41+D42</f>
        <v>129394</v>
      </c>
      <c r="E43" s="503">
        <f t="shared" si="12"/>
        <v>129394</v>
      </c>
      <c r="F43" s="503">
        <f>F29+F35+F41+F42</f>
        <v>128789</v>
      </c>
      <c r="G43" s="503">
        <f>G29+G35+G41+G42</f>
        <v>132748</v>
      </c>
      <c r="H43" s="503">
        <f>H29+H35+H41+H42</f>
        <v>134386</v>
      </c>
      <c r="I43" s="503">
        <f>I29+I35+I41+I42</f>
        <v>122124</v>
      </c>
      <c r="J43" s="503">
        <f>J29+J35+J41+J42</f>
        <v>119761</v>
      </c>
      <c r="K43" s="412">
        <f>J43/I43</f>
        <v>0.9806508139268285</v>
      </c>
      <c r="L43" s="503">
        <f t="shared" si="12"/>
        <v>129394</v>
      </c>
      <c r="M43" s="503">
        <f t="shared" si="12"/>
        <v>129394</v>
      </c>
      <c r="N43" s="503">
        <f t="shared" si="12"/>
        <v>128789</v>
      </c>
      <c r="O43" s="503">
        <f>O29+O35+O41+O42</f>
        <v>132748</v>
      </c>
      <c r="P43" s="503">
        <f>P29+P35+P41+P42</f>
        <v>134386</v>
      </c>
      <c r="Q43" s="503">
        <f>Q29+Q35+Q41+Q42</f>
        <v>122124</v>
      </c>
      <c r="R43" s="503">
        <f>R29+R35+R41+R42</f>
        <v>119761</v>
      </c>
      <c r="S43" s="412">
        <f>R43/Q43</f>
        <v>0.9806508139268285</v>
      </c>
      <c r="T43" s="503"/>
      <c r="U43" s="238"/>
      <c r="V43" s="223"/>
      <c r="W43" s="205"/>
    </row>
    <row r="44" spans="1:23" ht="13.5" thickBot="1">
      <c r="A44" s="335"/>
      <c r="B44" s="336"/>
      <c r="C44" s="336"/>
      <c r="D44" s="544"/>
      <c r="E44" s="544"/>
      <c r="F44" s="544"/>
      <c r="G44" s="544"/>
      <c r="H44" s="545"/>
      <c r="I44" s="545"/>
      <c r="J44" s="545"/>
      <c r="K44" s="849"/>
      <c r="L44" s="544"/>
      <c r="M44" s="544"/>
      <c r="N44" s="544"/>
      <c r="O44" s="544"/>
      <c r="P44" s="545"/>
      <c r="Q44" s="545"/>
      <c r="R44" s="545"/>
      <c r="S44" s="545"/>
      <c r="T44" s="544"/>
      <c r="U44" s="545"/>
      <c r="V44" s="546"/>
      <c r="W44" s="337"/>
    </row>
    <row r="45" spans="1:23" ht="13.5" thickBot="1">
      <c r="A45" s="226" t="s">
        <v>156</v>
      </c>
      <c r="B45" s="227"/>
      <c r="C45" s="512"/>
      <c r="D45" s="524">
        <v>25</v>
      </c>
      <c r="E45" s="524">
        <v>25</v>
      </c>
      <c r="F45" s="524">
        <v>25</v>
      </c>
      <c r="G45" s="524">
        <v>25</v>
      </c>
      <c r="H45" s="243">
        <v>22</v>
      </c>
      <c r="I45" s="243">
        <v>23</v>
      </c>
      <c r="J45" s="243">
        <v>23</v>
      </c>
      <c r="K45" s="412">
        <f>J45/I45</f>
        <v>1</v>
      </c>
      <c r="L45" s="524">
        <v>25</v>
      </c>
      <c r="M45" s="524">
        <v>25</v>
      </c>
      <c r="N45" s="524">
        <v>25</v>
      </c>
      <c r="O45" s="524">
        <v>25</v>
      </c>
      <c r="P45" s="243">
        <v>22</v>
      </c>
      <c r="Q45" s="243">
        <v>23</v>
      </c>
      <c r="R45" s="243">
        <v>23</v>
      </c>
      <c r="S45" s="412">
        <f>R45/Q45</f>
        <v>1</v>
      </c>
      <c r="T45" s="524"/>
      <c r="U45" s="243"/>
      <c r="V45" s="515"/>
      <c r="W45" s="242"/>
    </row>
    <row r="46" spans="1:23" ht="13.5" thickBot="1">
      <c r="A46" s="226" t="s">
        <v>157</v>
      </c>
      <c r="B46" s="227"/>
      <c r="C46" s="512"/>
      <c r="D46" s="524">
        <v>0</v>
      </c>
      <c r="E46" s="524">
        <v>0</v>
      </c>
      <c r="F46" s="524">
        <v>0</v>
      </c>
      <c r="G46" s="524">
        <v>0</v>
      </c>
      <c r="H46" s="243">
        <v>0</v>
      </c>
      <c r="I46" s="243">
        <v>0</v>
      </c>
      <c r="J46" s="243">
        <v>0</v>
      </c>
      <c r="K46" s="242"/>
      <c r="L46" s="524">
        <v>0</v>
      </c>
      <c r="M46" s="524">
        <v>0</v>
      </c>
      <c r="N46" s="524">
        <v>0</v>
      </c>
      <c r="O46" s="524">
        <v>0</v>
      </c>
      <c r="P46" s="243">
        <v>0</v>
      </c>
      <c r="Q46" s="243">
        <v>0</v>
      </c>
      <c r="R46" s="243">
        <v>0</v>
      </c>
      <c r="S46" s="412"/>
      <c r="T46" s="524"/>
      <c r="U46" s="243"/>
      <c r="V46" s="515"/>
      <c r="W46" s="242"/>
    </row>
    <row r="47" spans="6:11" ht="12.75">
      <c r="F47" s="339"/>
      <c r="G47" s="339"/>
      <c r="H47" s="339"/>
      <c r="I47" s="339"/>
      <c r="J47" s="339"/>
      <c r="K47" s="339"/>
    </row>
    <row r="48" spans="1:11" ht="12.75">
      <c r="A48" s="1186" t="s">
        <v>158</v>
      </c>
      <c r="B48" s="1186"/>
      <c r="C48" s="1186"/>
      <c r="D48" s="1186"/>
      <c r="E48" s="316"/>
      <c r="F48" s="316"/>
      <c r="G48" s="809"/>
      <c r="H48" s="809"/>
      <c r="I48" s="809"/>
      <c r="J48" s="316"/>
      <c r="K48" s="316"/>
    </row>
    <row r="49" spans="1:3" ht="12.75">
      <c r="A49" s="1186"/>
      <c r="B49" s="1186"/>
      <c r="C49" s="1186"/>
    </row>
    <row r="50" spans="4:11" ht="12.75">
      <c r="D50" s="339">
        <v>0</v>
      </c>
      <c r="E50" s="339"/>
      <c r="F50" s="339"/>
      <c r="G50" s="339">
        <f>G48-G49</f>
        <v>0</v>
      </c>
      <c r="H50" s="339"/>
      <c r="I50" s="339"/>
      <c r="J50" s="339"/>
      <c r="K50" s="339"/>
    </row>
  </sheetData>
  <sheetProtection/>
  <mergeCells count="8">
    <mergeCell ref="A3:T3"/>
    <mergeCell ref="L1:T1"/>
    <mergeCell ref="A49:C49"/>
    <mergeCell ref="A48:D48"/>
    <mergeCell ref="A6:B6"/>
    <mergeCell ref="D5:K5"/>
    <mergeCell ref="L5:S5"/>
    <mergeCell ref="T5:W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zoomScale="70" zoomScaleNormal="70" zoomScalePageLayoutView="55" workbookViewId="0" topLeftCell="A1">
      <selection activeCell="Z9" sqref="Z9"/>
    </sheetView>
  </sheetViews>
  <sheetFormatPr defaultColWidth="9.140625" defaultRowHeight="12.75"/>
  <cols>
    <col min="1" max="1" width="9.140625" style="32" customWidth="1"/>
    <col min="2" max="2" width="54.28125" style="32" customWidth="1"/>
    <col min="3" max="3" width="5.57421875" style="76" customWidth="1"/>
    <col min="4" max="4" width="14.140625" style="78" customWidth="1"/>
    <col min="5" max="8" width="14.140625" style="78" hidden="1" customWidth="1"/>
    <col min="9" max="11" width="14.140625" style="78" customWidth="1"/>
    <col min="12" max="12" width="17.57421875" style="32" customWidth="1"/>
    <col min="13" max="16" width="15.28125" style="32" hidden="1" customWidth="1"/>
    <col min="17" max="19" width="15.28125" style="32" customWidth="1"/>
    <col min="20" max="20" width="18.28125" style="32" customWidth="1"/>
    <col min="21" max="21" width="11.8515625" style="32" hidden="1" customWidth="1"/>
    <col min="22" max="24" width="9.140625" style="32" hidden="1" customWidth="1"/>
    <col min="25" max="25" width="9.140625" style="32" customWidth="1"/>
    <col min="26" max="26" width="12.140625" style="32" customWidth="1"/>
    <col min="27" max="27" width="13.57421875" style="32" customWidth="1"/>
    <col min="28" max="28" width="9.140625" style="32" customWidth="1"/>
    <col min="29" max="16384" width="9.140625" style="32" customWidth="1"/>
  </cols>
  <sheetData>
    <row r="1" spans="1:21" ht="15.75">
      <c r="A1" s="1205" t="s">
        <v>65</v>
      </c>
      <c r="B1" s="1205"/>
      <c r="C1" s="1205"/>
      <c r="D1" s="1205"/>
      <c r="E1" s="1205"/>
      <c r="F1" s="1205"/>
      <c r="G1" s="1205"/>
      <c r="H1" s="1205"/>
      <c r="I1" s="1205"/>
      <c r="J1" s="1205"/>
      <c r="K1" s="1205"/>
      <c r="L1" s="1205"/>
      <c r="M1" s="1205"/>
      <c r="N1" s="1205"/>
      <c r="O1" s="1205"/>
      <c r="P1" s="1205"/>
      <c r="Q1" s="1205"/>
      <c r="R1" s="1205"/>
      <c r="S1" s="1205"/>
      <c r="T1" s="1205"/>
      <c r="U1" s="61"/>
    </row>
    <row r="2" spans="1:21" ht="16.5" thickBot="1">
      <c r="A2" s="71"/>
      <c r="B2" s="61"/>
      <c r="C2" s="61"/>
      <c r="D2" s="72"/>
      <c r="E2" s="72"/>
      <c r="F2" s="72"/>
      <c r="G2" s="72"/>
      <c r="H2" s="72"/>
      <c r="I2" s="72"/>
      <c r="J2" s="72"/>
      <c r="K2" s="72"/>
      <c r="L2" s="61"/>
      <c r="M2" s="61"/>
      <c r="N2" s="61"/>
      <c r="O2" s="61"/>
      <c r="P2" s="61"/>
      <c r="Q2" s="61"/>
      <c r="R2" s="61"/>
      <c r="S2" s="61"/>
      <c r="T2" s="61" t="s">
        <v>2</v>
      </c>
      <c r="U2" s="61"/>
    </row>
    <row r="3" spans="1:27" s="73" customFormat="1" ht="31.5" customHeight="1" thickBot="1">
      <c r="A3" s="25" t="s">
        <v>6</v>
      </c>
      <c r="B3" s="26" t="s">
        <v>38</v>
      </c>
      <c r="C3" s="485" t="s">
        <v>293</v>
      </c>
      <c r="D3" s="1196" t="s">
        <v>5</v>
      </c>
      <c r="E3" s="1197"/>
      <c r="F3" s="1197"/>
      <c r="G3" s="1197"/>
      <c r="H3" s="1197"/>
      <c r="I3" s="1197"/>
      <c r="J3" s="1197"/>
      <c r="K3" s="1198"/>
      <c r="L3" s="1199" t="s">
        <v>294</v>
      </c>
      <c r="M3" s="1200"/>
      <c r="N3" s="1200"/>
      <c r="O3" s="1200"/>
      <c r="P3" s="1201"/>
      <c r="Q3" s="1201"/>
      <c r="R3" s="1201"/>
      <c r="S3" s="1202"/>
      <c r="T3" s="1199" t="s">
        <v>29</v>
      </c>
      <c r="U3" s="1200"/>
      <c r="V3" s="1200"/>
      <c r="W3" s="1200"/>
      <c r="X3" s="1201"/>
      <c r="Y3" s="1201"/>
      <c r="Z3" s="1201"/>
      <c r="AA3" s="1202"/>
    </row>
    <row r="4" spans="1:27" s="73" customFormat="1" ht="31.5" customHeight="1">
      <c r="A4" s="326"/>
      <c r="B4" s="327"/>
      <c r="C4" s="575"/>
      <c r="D4" s="1094" t="s">
        <v>71</v>
      </c>
      <c r="E4" s="1095" t="s">
        <v>245</v>
      </c>
      <c r="F4" s="1095" t="s">
        <v>248</v>
      </c>
      <c r="G4" s="1096" t="s">
        <v>251</v>
      </c>
      <c r="H4" s="1096" t="s">
        <v>267</v>
      </c>
      <c r="I4" s="1096" t="s">
        <v>271</v>
      </c>
      <c r="J4" s="1096" t="s">
        <v>254</v>
      </c>
      <c r="K4" s="1097" t="s">
        <v>255</v>
      </c>
      <c r="L4" s="851" t="s">
        <v>71</v>
      </c>
      <c r="M4" s="852" t="s">
        <v>245</v>
      </c>
      <c r="N4" s="852" t="s">
        <v>248</v>
      </c>
      <c r="O4" s="853" t="s">
        <v>251</v>
      </c>
      <c r="P4" s="936" t="s">
        <v>267</v>
      </c>
      <c r="Q4" s="936" t="s">
        <v>271</v>
      </c>
      <c r="R4" s="936" t="s">
        <v>254</v>
      </c>
      <c r="S4" s="854" t="s">
        <v>255</v>
      </c>
      <c r="T4" s="851" t="s">
        <v>71</v>
      </c>
      <c r="U4" s="852" t="s">
        <v>245</v>
      </c>
      <c r="V4" s="852" t="s">
        <v>248</v>
      </c>
      <c r="W4" s="853" t="s">
        <v>251</v>
      </c>
      <c r="X4" s="936" t="s">
        <v>267</v>
      </c>
      <c r="Y4" s="936" t="s">
        <v>271</v>
      </c>
      <c r="Z4" s="936" t="s">
        <v>254</v>
      </c>
      <c r="AA4" s="854" t="s">
        <v>255</v>
      </c>
    </row>
    <row r="5" spans="1:27" ht="29.25" customHeight="1">
      <c r="A5" s="60">
        <v>1</v>
      </c>
      <c r="B5" s="86" t="s">
        <v>485</v>
      </c>
      <c r="C5" s="576" t="s">
        <v>221</v>
      </c>
      <c r="D5" s="583">
        <v>1000</v>
      </c>
      <c r="E5" s="1098">
        <v>1000</v>
      </c>
      <c r="F5" s="1098">
        <v>1000</v>
      </c>
      <c r="G5" s="1098">
        <v>1000</v>
      </c>
      <c r="H5" s="1098">
        <v>1000</v>
      </c>
      <c r="I5" s="1098">
        <v>1000</v>
      </c>
      <c r="J5" s="1098">
        <v>0</v>
      </c>
      <c r="K5" s="588">
        <f aca="true" t="shared" si="0" ref="K5:K12">J5/I5</f>
        <v>0</v>
      </c>
      <c r="L5" s="583">
        <v>787</v>
      </c>
      <c r="M5" s="583">
        <v>787</v>
      </c>
      <c r="N5" s="583">
        <v>787</v>
      </c>
      <c r="O5" s="583">
        <v>787</v>
      </c>
      <c r="P5" s="583">
        <v>787</v>
      </c>
      <c r="Q5" s="583">
        <v>787</v>
      </c>
      <c r="R5" s="1019">
        <v>0</v>
      </c>
      <c r="S5" s="588">
        <f>R5/Q5</f>
        <v>0</v>
      </c>
      <c r="T5" s="583">
        <v>213</v>
      </c>
      <c r="U5" s="583">
        <v>213</v>
      </c>
      <c r="V5" s="583">
        <v>213</v>
      </c>
      <c r="W5" s="583">
        <v>213</v>
      </c>
      <c r="X5" s="583">
        <v>213</v>
      </c>
      <c r="Y5" s="583">
        <v>213</v>
      </c>
      <c r="Z5" s="1019">
        <v>0</v>
      </c>
      <c r="AA5" s="588">
        <f>Z5/Y5</f>
        <v>0</v>
      </c>
    </row>
    <row r="6" spans="1:27" ht="29.25" customHeight="1" thickBot="1">
      <c r="A6" s="60">
        <v>2</v>
      </c>
      <c r="B6" s="86" t="s">
        <v>486</v>
      </c>
      <c r="C6" s="576" t="s">
        <v>221</v>
      </c>
      <c r="D6" s="584">
        <v>5000</v>
      </c>
      <c r="E6" s="74">
        <v>5000</v>
      </c>
      <c r="F6" s="74">
        <v>5000</v>
      </c>
      <c r="G6" s="74">
        <v>5000</v>
      </c>
      <c r="H6" s="74">
        <v>5000</v>
      </c>
      <c r="I6" s="74">
        <v>5000</v>
      </c>
      <c r="J6" s="74">
        <v>0</v>
      </c>
      <c r="K6" s="588">
        <f t="shared" si="0"/>
        <v>0</v>
      </c>
      <c r="L6" s="589">
        <v>0</v>
      </c>
      <c r="M6" s="589">
        <v>0</v>
      </c>
      <c r="N6" s="589">
        <v>0</v>
      </c>
      <c r="O6" s="857"/>
      <c r="P6" s="939"/>
      <c r="Q6" s="939"/>
      <c r="R6" s="939">
        <v>0</v>
      </c>
      <c r="S6" s="588"/>
      <c r="T6" s="589">
        <v>5000</v>
      </c>
      <c r="U6" s="589">
        <v>5000</v>
      </c>
      <c r="V6" s="589">
        <v>5000</v>
      </c>
      <c r="W6" s="589">
        <v>5000</v>
      </c>
      <c r="X6" s="589">
        <v>5000</v>
      </c>
      <c r="Y6" s="589">
        <v>5000</v>
      </c>
      <c r="Z6" s="1026">
        <v>0</v>
      </c>
      <c r="AA6" s="588">
        <f>Z6/Y6</f>
        <v>0</v>
      </c>
    </row>
    <row r="7" spans="1:27" ht="29.25" customHeight="1">
      <c r="A7" s="60">
        <v>3</v>
      </c>
      <c r="B7" s="90" t="s">
        <v>487</v>
      </c>
      <c r="C7" s="577" t="s">
        <v>221</v>
      </c>
      <c r="D7" s="585"/>
      <c r="E7" s="1099"/>
      <c r="F7" s="1099">
        <v>1499</v>
      </c>
      <c r="G7" s="1099">
        <v>1499</v>
      </c>
      <c r="H7" s="1099">
        <v>1499</v>
      </c>
      <c r="I7" s="1099">
        <v>1499</v>
      </c>
      <c r="J7" s="1099">
        <v>1499</v>
      </c>
      <c r="K7" s="588">
        <f t="shared" si="0"/>
        <v>1</v>
      </c>
      <c r="L7" s="590"/>
      <c r="M7" s="590"/>
      <c r="N7" s="590"/>
      <c r="O7" s="858"/>
      <c r="P7" s="940"/>
      <c r="Q7" s="940"/>
      <c r="R7" s="940">
        <v>0</v>
      </c>
      <c r="S7" s="588"/>
      <c r="T7" s="590"/>
      <c r="U7" s="590"/>
      <c r="V7" s="590">
        <v>1499</v>
      </c>
      <c r="W7" s="590">
        <v>1499</v>
      </c>
      <c r="X7" s="590">
        <v>1499</v>
      </c>
      <c r="Y7" s="590">
        <v>1499</v>
      </c>
      <c r="Z7" s="1025">
        <v>1499</v>
      </c>
      <c r="AA7" s="588">
        <f>Z7/Y7</f>
        <v>1</v>
      </c>
    </row>
    <row r="8" spans="1:27" ht="29.25" customHeight="1">
      <c r="A8" s="60">
        <v>4</v>
      </c>
      <c r="B8" s="86" t="s">
        <v>530</v>
      </c>
      <c r="C8" s="577" t="s">
        <v>221</v>
      </c>
      <c r="D8" s="586"/>
      <c r="E8" s="75"/>
      <c r="F8" s="75"/>
      <c r="G8" s="75">
        <v>136</v>
      </c>
      <c r="H8" s="75">
        <v>136</v>
      </c>
      <c r="I8" s="75">
        <v>136</v>
      </c>
      <c r="J8" s="75">
        <v>136</v>
      </c>
      <c r="K8" s="588">
        <f t="shared" si="0"/>
        <v>1</v>
      </c>
      <c r="L8" s="590"/>
      <c r="M8" s="590"/>
      <c r="N8" s="590"/>
      <c r="O8" s="858"/>
      <c r="P8" s="940"/>
      <c r="Q8" s="940"/>
      <c r="R8" s="940">
        <v>0</v>
      </c>
      <c r="S8" s="588"/>
      <c r="T8" s="590"/>
      <c r="U8" s="590"/>
      <c r="V8" s="590"/>
      <c r="W8" s="75">
        <v>136</v>
      </c>
      <c r="X8" s="75">
        <v>136</v>
      </c>
      <c r="Y8" s="75">
        <v>136</v>
      </c>
      <c r="Z8" s="1021">
        <v>136</v>
      </c>
      <c r="AA8" s="588">
        <f>Z8/Y8</f>
        <v>1</v>
      </c>
    </row>
    <row r="9" spans="1:27" ht="29.25" customHeight="1">
      <c r="A9" s="60">
        <v>5</v>
      </c>
      <c r="B9" s="88" t="s">
        <v>531</v>
      </c>
      <c r="C9" s="577" t="s">
        <v>221</v>
      </c>
      <c r="D9" s="586"/>
      <c r="E9" s="75"/>
      <c r="F9" s="75"/>
      <c r="G9" s="75">
        <v>15</v>
      </c>
      <c r="H9" s="75">
        <v>15</v>
      </c>
      <c r="I9" s="75">
        <v>15</v>
      </c>
      <c r="J9" s="75">
        <v>15</v>
      </c>
      <c r="K9" s="588">
        <f t="shared" si="0"/>
        <v>1</v>
      </c>
      <c r="L9" s="590"/>
      <c r="M9" s="590"/>
      <c r="N9" s="590"/>
      <c r="O9" s="858"/>
      <c r="P9" s="940"/>
      <c r="Q9" s="940"/>
      <c r="R9" s="940">
        <v>0</v>
      </c>
      <c r="S9" s="588"/>
      <c r="T9" s="590"/>
      <c r="U9" s="590"/>
      <c r="V9" s="590"/>
      <c r="W9" s="75">
        <v>15</v>
      </c>
      <c r="X9" s="75">
        <v>15</v>
      </c>
      <c r="Y9" s="75">
        <v>15</v>
      </c>
      <c r="Z9" s="1021">
        <v>15</v>
      </c>
      <c r="AA9" s="588">
        <f>Z9/Y9</f>
        <v>1</v>
      </c>
    </row>
    <row r="10" spans="1:27" ht="29.25" customHeight="1">
      <c r="A10" s="60">
        <v>6</v>
      </c>
      <c r="B10" s="88" t="s">
        <v>544</v>
      </c>
      <c r="C10" s="577" t="s">
        <v>221</v>
      </c>
      <c r="D10" s="586"/>
      <c r="E10" s="75"/>
      <c r="F10" s="75"/>
      <c r="G10" s="75"/>
      <c r="H10" s="75"/>
      <c r="I10" s="75">
        <v>1022</v>
      </c>
      <c r="J10" s="75">
        <v>1022</v>
      </c>
      <c r="K10" s="588">
        <f t="shared" si="0"/>
        <v>1</v>
      </c>
      <c r="L10" s="590"/>
      <c r="M10" s="590"/>
      <c r="N10" s="590"/>
      <c r="O10" s="858"/>
      <c r="P10" s="940"/>
      <c r="Q10" s="940"/>
      <c r="R10" s="940">
        <v>924</v>
      </c>
      <c r="S10" s="588"/>
      <c r="T10" s="590"/>
      <c r="U10" s="590"/>
      <c r="V10" s="590"/>
      <c r="W10" s="858"/>
      <c r="X10" s="940"/>
      <c r="Y10" s="940">
        <v>1022</v>
      </c>
      <c r="Z10" s="940">
        <v>98</v>
      </c>
      <c r="AA10" s="588"/>
    </row>
    <row r="11" spans="1:27" ht="29.25" customHeight="1">
      <c r="A11" s="60">
        <v>7</v>
      </c>
      <c r="B11" s="86" t="s">
        <v>545</v>
      </c>
      <c r="C11" s="577" t="s">
        <v>221</v>
      </c>
      <c r="D11" s="586"/>
      <c r="E11" s="75"/>
      <c r="F11" s="75"/>
      <c r="G11" s="75"/>
      <c r="H11" s="75"/>
      <c r="I11" s="75">
        <v>144</v>
      </c>
      <c r="J11" s="75">
        <v>143</v>
      </c>
      <c r="K11" s="588">
        <f t="shared" si="0"/>
        <v>0.9930555555555556</v>
      </c>
      <c r="L11" s="590"/>
      <c r="M11" s="590"/>
      <c r="N11" s="590"/>
      <c r="O11" s="858"/>
      <c r="P11" s="940"/>
      <c r="Q11" s="940">
        <v>144</v>
      </c>
      <c r="R11" s="940">
        <v>143</v>
      </c>
      <c r="S11" s="588">
        <f>R11/Q11</f>
        <v>0.9930555555555556</v>
      </c>
      <c r="T11" s="590"/>
      <c r="U11" s="590"/>
      <c r="V11" s="590"/>
      <c r="W11" s="858"/>
      <c r="X11" s="940"/>
      <c r="Y11" s="940"/>
      <c r="Z11" s="940">
        <v>0</v>
      </c>
      <c r="AA11" s="588"/>
    </row>
    <row r="12" spans="1:27" ht="29.25" customHeight="1" thickBot="1">
      <c r="A12" s="60">
        <v>8</v>
      </c>
      <c r="B12" s="89" t="s">
        <v>546</v>
      </c>
      <c r="C12" s="577" t="s">
        <v>221</v>
      </c>
      <c r="D12" s="586"/>
      <c r="E12" s="586"/>
      <c r="F12" s="586"/>
      <c r="G12" s="75"/>
      <c r="H12" s="75"/>
      <c r="I12" s="75">
        <v>220</v>
      </c>
      <c r="J12" s="1021">
        <v>219</v>
      </c>
      <c r="K12" s="588">
        <f t="shared" si="0"/>
        <v>0.9954545454545455</v>
      </c>
      <c r="L12" s="590"/>
      <c r="M12" s="590"/>
      <c r="N12" s="590"/>
      <c r="O12" s="858"/>
      <c r="P12" s="940"/>
      <c r="Q12" s="940"/>
      <c r="R12" s="940"/>
      <c r="S12" s="588"/>
      <c r="T12" s="590"/>
      <c r="U12" s="590"/>
      <c r="V12" s="590"/>
      <c r="W12" s="858"/>
      <c r="X12" s="940"/>
      <c r="Y12" s="940">
        <v>220</v>
      </c>
      <c r="Z12" s="940">
        <v>219</v>
      </c>
      <c r="AA12" s="588"/>
    </row>
    <row r="13" spans="1:27" ht="29.25" customHeight="1" hidden="1">
      <c r="A13" s="60">
        <v>9</v>
      </c>
      <c r="B13" s="86"/>
      <c r="C13" s="577"/>
      <c r="D13" s="586"/>
      <c r="E13" s="586"/>
      <c r="F13" s="586"/>
      <c r="G13" s="75"/>
      <c r="H13" s="75"/>
      <c r="I13" s="75"/>
      <c r="J13" s="1021"/>
      <c r="K13" s="588" t="e">
        <f>G13/E13</f>
        <v>#DIV/0!</v>
      </c>
      <c r="L13" s="590"/>
      <c r="M13" s="590"/>
      <c r="N13" s="590"/>
      <c r="O13" s="858"/>
      <c r="P13" s="940"/>
      <c r="Q13" s="940"/>
      <c r="R13" s="940"/>
      <c r="S13" s="588" t="e">
        <f>O13/M13</f>
        <v>#DIV/0!</v>
      </c>
      <c r="T13" s="590"/>
      <c r="U13" s="590"/>
      <c r="V13" s="590"/>
      <c r="W13" s="858"/>
      <c r="X13" s="940"/>
      <c r="Y13" s="940"/>
      <c r="Z13" s="940"/>
      <c r="AA13" s="588" t="e">
        <f>W13/U13</f>
        <v>#DIV/0!</v>
      </c>
    </row>
    <row r="14" spans="1:27" ht="29.25" customHeight="1" hidden="1">
      <c r="A14" s="60">
        <v>10</v>
      </c>
      <c r="B14" s="88"/>
      <c r="C14" s="577"/>
      <c r="D14" s="586"/>
      <c r="E14" s="586"/>
      <c r="F14" s="586"/>
      <c r="G14" s="75"/>
      <c r="H14" s="75"/>
      <c r="I14" s="75"/>
      <c r="J14" s="1021"/>
      <c r="K14" s="588" t="e">
        <f>G14/E14</f>
        <v>#DIV/0!</v>
      </c>
      <c r="L14" s="590"/>
      <c r="M14" s="590"/>
      <c r="N14" s="590"/>
      <c r="O14" s="858"/>
      <c r="P14" s="940"/>
      <c r="Q14" s="940"/>
      <c r="R14" s="940"/>
      <c r="S14" s="588" t="e">
        <f>O14/M14</f>
        <v>#DIV/0!</v>
      </c>
      <c r="T14" s="590"/>
      <c r="U14" s="590"/>
      <c r="V14" s="590"/>
      <c r="W14" s="858"/>
      <c r="X14" s="940"/>
      <c r="Y14" s="940"/>
      <c r="Z14" s="940"/>
      <c r="AA14" s="588" t="e">
        <f>W14/U14</f>
        <v>#DIV/0!</v>
      </c>
    </row>
    <row r="15" spans="1:27" ht="29.25" customHeight="1" hidden="1" thickBot="1">
      <c r="A15" s="60">
        <v>11</v>
      </c>
      <c r="B15" s="88"/>
      <c r="C15" s="577"/>
      <c r="D15" s="586"/>
      <c r="E15" s="586"/>
      <c r="F15" s="586"/>
      <c r="G15" s="75"/>
      <c r="H15" s="75"/>
      <c r="I15" s="75"/>
      <c r="J15" s="1021"/>
      <c r="K15" s="588" t="e">
        <f>G15/E15</f>
        <v>#DIV/0!</v>
      </c>
      <c r="L15" s="590"/>
      <c r="M15" s="590"/>
      <c r="N15" s="590"/>
      <c r="O15" s="858"/>
      <c r="P15" s="940"/>
      <c r="Q15" s="940"/>
      <c r="R15" s="940"/>
      <c r="S15" s="588" t="e">
        <f>O15/M15</f>
        <v>#DIV/0!</v>
      </c>
      <c r="T15" s="590"/>
      <c r="U15" s="590"/>
      <c r="V15" s="590"/>
      <c r="W15" s="858"/>
      <c r="X15" s="940"/>
      <c r="Y15" s="940"/>
      <c r="Z15" s="940"/>
      <c r="AA15" s="588" t="e">
        <f>W15/U15</f>
        <v>#DIV/0!</v>
      </c>
    </row>
    <row r="16" spans="1:27" ht="31.5" customHeight="1" thickBot="1">
      <c r="A16" s="1203" t="s">
        <v>1</v>
      </c>
      <c r="B16" s="1206"/>
      <c r="C16" s="578"/>
      <c r="D16" s="587">
        <f>SUM(D5:D11)</f>
        <v>6000</v>
      </c>
      <c r="E16" s="587">
        <f>SUM(E5:E11)</f>
        <v>6000</v>
      </c>
      <c r="F16" s="587">
        <f>SUM(F5:F11)</f>
        <v>7499</v>
      </c>
      <c r="G16" s="855">
        <f>SUM(G5:G11)</f>
        <v>7650</v>
      </c>
      <c r="H16" s="855">
        <f>SUM(H5:H11)</f>
        <v>7650</v>
      </c>
      <c r="I16" s="855">
        <f>SUM(I5:I12)</f>
        <v>9036</v>
      </c>
      <c r="J16" s="855">
        <f>SUM(J5:J12)</f>
        <v>3034</v>
      </c>
      <c r="K16" s="856">
        <f>J16/I16</f>
        <v>0.33576803895528995</v>
      </c>
      <c r="L16" s="587">
        <f aca="true" t="shared" si="1" ref="L16:R16">SUM(L5:L15)</f>
        <v>787</v>
      </c>
      <c r="M16" s="587">
        <f t="shared" si="1"/>
        <v>787</v>
      </c>
      <c r="N16" s="587">
        <f t="shared" si="1"/>
        <v>787</v>
      </c>
      <c r="O16" s="855">
        <f t="shared" si="1"/>
        <v>787</v>
      </c>
      <c r="P16" s="855">
        <f t="shared" si="1"/>
        <v>787</v>
      </c>
      <c r="Q16" s="855">
        <f t="shared" si="1"/>
        <v>931</v>
      </c>
      <c r="R16" s="855">
        <f t="shared" si="1"/>
        <v>1067</v>
      </c>
      <c r="S16" s="856">
        <f>R16/Q16</f>
        <v>1.146079484425349</v>
      </c>
      <c r="T16" s="587">
        <f aca="true" t="shared" si="2" ref="T16:Z16">SUM(T5:T15)</f>
        <v>5213</v>
      </c>
      <c r="U16" s="587">
        <f t="shared" si="2"/>
        <v>5213</v>
      </c>
      <c r="V16" s="587">
        <f t="shared" si="2"/>
        <v>6712</v>
      </c>
      <c r="W16" s="855">
        <f t="shared" si="2"/>
        <v>6863</v>
      </c>
      <c r="X16" s="855">
        <f t="shared" si="2"/>
        <v>6863</v>
      </c>
      <c r="Y16" s="855">
        <f t="shared" si="2"/>
        <v>8105</v>
      </c>
      <c r="Z16" s="855">
        <f t="shared" si="2"/>
        <v>1967</v>
      </c>
      <c r="AA16" s="856">
        <f>Z16/Y16</f>
        <v>0.24268969771745835</v>
      </c>
    </row>
    <row r="17" spans="1:20" ht="15.75">
      <c r="A17" s="61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</row>
    <row r="18" spans="1:20" ht="14.25">
      <c r="A18" s="1205" t="s">
        <v>66</v>
      </c>
      <c r="B18" s="1205"/>
      <c r="C18" s="1205"/>
      <c r="D18" s="1205"/>
      <c r="E18" s="1205"/>
      <c r="F18" s="1205"/>
      <c r="G18" s="1205"/>
      <c r="H18" s="1205"/>
      <c r="I18" s="1205"/>
      <c r="J18" s="1205"/>
      <c r="K18" s="1205"/>
      <c r="L18" s="1205"/>
      <c r="M18" s="1205"/>
      <c r="N18" s="1205"/>
      <c r="O18" s="1205"/>
      <c r="P18" s="1205"/>
      <c r="Q18" s="1205"/>
      <c r="R18" s="1205"/>
      <c r="S18" s="1205"/>
      <c r="T18" s="1205"/>
    </row>
    <row r="19" spans="1:20" ht="13.5" thickBot="1">
      <c r="A19" s="76"/>
      <c r="B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</row>
    <row r="20" spans="1:27" ht="29.25" customHeight="1" thickBot="1">
      <c r="A20" s="25" t="s">
        <v>6</v>
      </c>
      <c r="B20" s="26" t="s">
        <v>34</v>
      </c>
      <c r="C20" s="485" t="s">
        <v>293</v>
      </c>
      <c r="D20" s="1196" t="s">
        <v>5</v>
      </c>
      <c r="E20" s="1197"/>
      <c r="F20" s="1197"/>
      <c r="G20" s="1197"/>
      <c r="H20" s="1197"/>
      <c r="I20" s="1197"/>
      <c r="J20" s="1197"/>
      <c r="K20" s="1198"/>
      <c r="L20" s="1199" t="s">
        <v>294</v>
      </c>
      <c r="M20" s="1200"/>
      <c r="N20" s="1200"/>
      <c r="O20" s="1200"/>
      <c r="P20" s="1201"/>
      <c r="Q20" s="1201"/>
      <c r="R20" s="1201"/>
      <c r="S20" s="1202"/>
      <c r="T20" s="1199" t="s">
        <v>29</v>
      </c>
      <c r="U20" s="1200"/>
      <c r="V20" s="1200"/>
      <c r="W20" s="1200"/>
      <c r="X20" s="1201"/>
      <c r="Y20" s="1201"/>
      <c r="Z20" s="1201"/>
      <c r="AA20" s="1202"/>
    </row>
    <row r="21" spans="1:27" ht="28.5" customHeight="1" thickBot="1">
      <c r="A21" s="328"/>
      <c r="B21" s="329"/>
      <c r="C21" s="579"/>
      <c r="D21" s="851" t="s">
        <v>71</v>
      </c>
      <c r="E21" s="852" t="s">
        <v>245</v>
      </c>
      <c r="F21" s="852" t="s">
        <v>248</v>
      </c>
      <c r="G21" s="853" t="s">
        <v>251</v>
      </c>
      <c r="H21" s="936" t="s">
        <v>267</v>
      </c>
      <c r="I21" s="936" t="s">
        <v>271</v>
      </c>
      <c r="J21" s="936" t="s">
        <v>254</v>
      </c>
      <c r="K21" s="1027" t="s">
        <v>255</v>
      </c>
      <c r="L21" s="851" t="s">
        <v>71</v>
      </c>
      <c r="M21" s="852" t="s">
        <v>245</v>
      </c>
      <c r="N21" s="852" t="s">
        <v>248</v>
      </c>
      <c r="O21" s="853" t="s">
        <v>251</v>
      </c>
      <c r="P21" s="936" t="s">
        <v>267</v>
      </c>
      <c r="Q21" s="936" t="s">
        <v>271</v>
      </c>
      <c r="R21" s="1028" t="s">
        <v>254</v>
      </c>
      <c r="S21" s="854" t="s">
        <v>255</v>
      </c>
      <c r="T21" s="851" t="s">
        <v>71</v>
      </c>
      <c r="U21" s="852" t="s">
        <v>245</v>
      </c>
      <c r="V21" s="852" t="s">
        <v>248</v>
      </c>
      <c r="W21" s="853" t="s">
        <v>251</v>
      </c>
      <c r="X21" s="936" t="s">
        <v>267</v>
      </c>
      <c r="Y21" s="936" t="s">
        <v>271</v>
      </c>
      <c r="Z21" s="1028" t="s">
        <v>254</v>
      </c>
      <c r="AA21" s="854" t="s">
        <v>255</v>
      </c>
    </row>
    <row r="22" spans="1:27" ht="29.25" customHeight="1">
      <c r="A22" s="77">
        <v>1</v>
      </c>
      <c r="B22" s="90" t="s">
        <v>487</v>
      </c>
      <c r="C22" s="580" t="s">
        <v>221</v>
      </c>
      <c r="D22" s="591">
        <v>43030</v>
      </c>
      <c r="E22" s="591">
        <v>43030</v>
      </c>
      <c r="F22" s="591">
        <v>41531</v>
      </c>
      <c r="G22" s="591">
        <v>41531</v>
      </c>
      <c r="H22" s="591">
        <v>41533</v>
      </c>
      <c r="I22" s="591">
        <v>41533</v>
      </c>
      <c r="J22" s="591">
        <v>37408</v>
      </c>
      <c r="K22" s="588">
        <f aca="true" t="shared" si="3" ref="K22:K28">J22/I22</f>
        <v>0.9006813858859221</v>
      </c>
      <c r="L22" s="594">
        <v>28721</v>
      </c>
      <c r="M22" s="594">
        <v>28721</v>
      </c>
      <c r="N22" s="594">
        <v>28721</v>
      </c>
      <c r="O22" s="594">
        <v>28721</v>
      </c>
      <c r="P22" s="594">
        <v>28721</v>
      </c>
      <c r="Q22" s="594">
        <v>28680</v>
      </c>
      <c r="R22" s="1029">
        <v>28680</v>
      </c>
      <c r="S22" s="588">
        <f>R22/Q22</f>
        <v>1</v>
      </c>
      <c r="T22" s="594">
        <f aca="true" t="shared" si="4" ref="T22:W25">D22-L22</f>
        <v>14309</v>
      </c>
      <c r="U22" s="594">
        <f t="shared" si="4"/>
        <v>14309</v>
      </c>
      <c r="V22" s="594">
        <f t="shared" si="4"/>
        <v>12810</v>
      </c>
      <c r="W22" s="594">
        <f t="shared" si="4"/>
        <v>12810</v>
      </c>
      <c r="X22" s="594">
        <f>H22-P22+2</f>
        <v>12814</v>
      </c>
      <c r="Y22" s="594">
        <f>I22-Q22</f>
        <v>12853</v>
      </c>
      <c r="Z22" s="1029">
        <f>J22-R22</f>
        <v>8728</v>
      </c>
      <c r="AA22" s="588">
        <f aca="true" t="shared" si="5" ref="AA22:AA28">Z22/Y22</f>
        <v>0.679063253715086</v>
      </c>
    </row>
    <row r="23" spans="1:27" ht="29.25" customHeight="1">
      <c r="A23" s="59">
        <v>2</v>
      </c>
      <c r="B23" s="91" t="s">
        <v>370</v>
      </c>
      <c r="C23" s="581" t="s">
        <v>221</v>
      </c>
      <c r="D23" s="592">
        <v>21000</v>
      </c>
      <c r="E23" s="592">
        <v>21000</v>
      </c>
      <c r="F23" s="592">
        <v>21000</v>
      </c>
      <c r="G23" s="592">
        <v>21000</v>
      </c>
      <c r="H23" s="592">
        <v>21000</v>
      </c>
      <c r="I23" s="592">
        <v>21000</v>
      </c>
      <c r="J23" s="1022">
        <f>27942+1</f>
        <v>27943</v>
      </c>
      <c r="K23" s="588">
        <f t="shared" si="3"/>
        <v>1.3306190476190476</v>
      </c>
      <c r="L23" s="595">
        <v>6000</v>
      </c>
      <c r="M23" s="595">
        <v>6000</v>
      </c>
      <c r="N23" s="595">
        <v>6000</v>
      </c>
      <c r="O23" s="595">
        <v>6000</v>
      </c>
      <c r="P23" s="595">
        <v>6000</v>
      </c>
      <c r="Q23" s="595">
        <v>6000</v>
      </c>
      <c r="R23" s="1025">
        <v>0</v>
      </c>
      <c r="S23" s="588">
        <f>R23/Q23</f>
        <v>0</v>
      </c>
      <c r="T23" s="595">
        <f t="shared" si="4"/>
        <v>15000</v>
      </c>
      <c r="U23" s="595">
        <f t="shared" si="4"/>
        <v>15000</v>
      </c>
      <c r="V23" s="595">
        <f t="shared" si="4"/>
        <v>15000</v>
      </c>
      <c r="W23" s="595">
        <f t="shared" si="4"/>
        <v>15000</v>
      </c>
      <c r="X23" s="595">
        <f aca="true" t="shared" si="6" ref="X23:Y25">H23-P23</f>
        <v>15000</v>
      </c>
      <c r="Y23" s="595">
        <f t="shared" si="6"/>
        <v>15000</v>
      </c>
      <c r="Z23" s="1024">
        <f aca="true" t="shared" si="7" ref="Z23:Z28">J23-R23</f>
        <v>27943</v>
      </c>
      <c r="AA23" s="588">
        <f t="shared" si="5"/>
        <v>1.8628666666666667</v>
      </c>
    </row>
    <row r="24" spans="1:27" ht="29.25" customHeight="1">
      <c r="A24" s="59">
        <v>3</v>
      </c>
      <c r="B24" s="87" t="s">
        <v>488</v>
      </c>
      <c r="C24" s="577" t="s">
        <v>221</v>
      </c>
      <c r="D24" s="586">
        <v>2000</v>
      </c>
      <c r="E24" s="586">
        <v>2000</v>
      </c>
      <c r="F24" s="586">
        <v>2000</v>
      </c>
      <c r="G24" s="586">
        <f>2000-136-15-582</f>
        <v>1267</v>
      </c>
      <c r="H24" s="586">
        <f>2000-136-15-582</f>
        <v>1267</v>
      </c>
      <c r="I24" s="586">
        <f>2000-136-15-582</f>
        <v>1267</v>
      </c>
      <c r="J24" s="1023">
        <v>0</v>
      </c>
      <c r="K24" s="588">
        <f t="shared" si="3"/>
        <v>0</v>
      </c>
      <c r="L24" s="590">
        <v>0</v>
      </c>
      <c r="M24" s="590">
        <v>0</v>
      </c>
      <c r="N24" s="590">
        <v>0</v>
      </c>
      <c r="O24" s="590">
        <v>0</v>
      </c>
      <c r="P24" s="590">
        <v>0</v>
      </c>
      <c r="Q24" s="590">
        <v>0</v>
      </c>
      <c r="R24" s="1025"/>
      <c r="S24" s="588"/>
      <c r="T24" s="590">
        <f t="shared" si="4"/>
        <v>2000</v>
      </c>
      <c r="U24" s="590">
        <f t="shared" si="4"/>
        <v>2000</v>
      </c>
      <c r="V24" s="590">
        <f t="shared" si="4"/>
        <v>2000</v>
      </c>
      <c r="W24" s="590">
        <f t="shared" si="4"/>
        <v>1267</v>
      </c>
      <c r="X24" s="590">
        <f t="shared" si="6"/>
        <v>1267</v>
      </c>
      <c r="Y24" s="590">
        <f t="shared" si="6"/>
        <v>1267</v>
      </c>
      <c r="Z24" s="1025">
        <f t="shared" si="7"/>
        <v>0</v>
      </c>
      <c r="AA24" s="588">
        <f t="shared" si="5"/>
        <v>0</v>
      </c>
    </row>
    <row r="25" spans="1:27" ht="29.25" customHeight="1">
      <c r="A25" s="59">
        <v>4</v>
      </c>
      <c r="B25" s="86" t="s">
        <v>489</v>
      </c>
      <c r="C25" s="576" t="s">
        <v>221</v>
      </c>
      <c r="D25" s="584">
        <v>2000</v>
      </c>
      <c r="E25" s="584">
        <v>2000</v>
      </c>
      <c r="F25" s="584">
        <v>2000</v>
      </c>
      <c r="G25" s="584">
        <v>2000</v>
      </c>
      <c r="H25" s="584">
        <v>2000</v>
      </c>
      <c r="I25" s="584">
        <v>2000</v>
      </c>
      <c r="J25" s="1020">
        <v>0</v>
      </c>
      <c r="K25" s="588">
        <f t="shared" si="3"/>
        <v>0</v>
      </c>
      <c r="L25" s="590">
        <v>0</v>
      </c>
      <c r="M25" s="590">
        <v>0</v>
      </c>
      <c r="N25" s="590">
        <v>0</v>
      </c>
      <c r="O25" s="590">
        <v>0</v>
      </c>
      <c r="P25" s="590">
        <v>0</v>
      </c>
      <c r="Q25" s="590">
        <v>0</v>
      </c>
      <c r="R25" s="1025"/>
      <c r="S25" s="588"/>
      <c r="T25" s="590">
        <f t="shared" si="4"/>
        <v>2000</v>
      </c>
      <c r="U25" s="590">
        <f t="shared" si="4"/>
        <v>2000</v>
      </c>
      <c r="V25" s="590">
        <f t="shared" si="4"/>
        <v>2000</v>
      </c>
      <c r="W25" s="590">
        <f t="shared" si="4"/>
        <v>2000</v>
      </c>
      <c r="X25" s="590">
        <f t="shared" si="6"/>
        <v>2000</v>
      </c>
      <c r="Y25" s="590">
        <f t="shared" si="6"/>
        <v>2000</v>
      </c>
      <c r="Z25" s="1025">
        <f t="shared" si="7"/>
        <v>0</v>
      </c>
      <c r="AA25" s="588">
        <f t="shared" si="5"/>
        <v>0</v>
      </c>
    </row>
    <row r="26" spans="1:27" ht="29.25" customHeight="1">
      <c r="A26" s="59">
        <v>5</v>
      </c>
      <c r="B26" s="86" t="s">
        <v>532</v>
      </c>
      <c r="C26" s="576" t="s">
        <v>221</v>
      </c>
      <c r="D26" s="584"/>
      <c r="E26" s="584"/>
      <c r="F26" s="584"/>
      <c r="G26" s="937">
        <v>310</v>
      </c>
      <c r="H26" s="937">
        <v>310</v>
      </c>
      <c r="I26" s="937">
        <v>310</v>
      </c>
      <c r="J26" s="937">
        <v>0</v>
      </c>
      <c r="K26" s="588">
        <f t="shared" si="3"/>
        <v>0</v>
      </c>
      <c r="L26" s="590"/>
      <c r="M26" s="590"/>
      <c r="N26" s="590"/>
      <c r="O26" s="590"/>
      <c r="P26" s="590"/>
      <c r="Q26" s="590"/>
      <c r="R26" s="1025"/>
      <c r="S26" s="588"/>
      <c r="T26" s="590"/>
      <c r="U26" s="590"/>
      <c r="V26" s="590"/>
      <c r="W26" s="937">
        <v>310</v>
      </c>
      <c r="X26" s="937">
        <v>310</v>
      </c>
      <c r="Y26" s="74">
        <v>310</v>
      </c>
      <c r="Z26" s="858">
        <f t="shared" si="7"/>
        <v>0</v>
      </c>
      <c r="AA26" s="588">
        <f t="shared" si="5"/>
        <v>0</v>
      </c>
    </row>
    <row r="27" spans="1:27" ht="29.25" customHeight="1">
      <c r="A27" s="59">
        <v>6</v>
      </c>
      <c r="B27" s="86" t="s">
        <v>533</v>
      </c>
      <c r="C27" s="582" t="s">
        <v>221</v>
      </c>
      <c r="D27" s="584"/>
      <c r="E27" s="584"/>
      <c r="F27" s="584"/>
      <c r="G27" s="937">
        <v>120</v>
      </c>
      <c r="H27" s="937">
        <v>120</v>
      </c>
      <c r="I27" s="937">
        <v>120</v>
      </c>
      <c r="J27" s="937">
        <v>0</v>
      </c>
      <c r="K27" s="588">
        <f t="shared" si="3"/>
        <v>0</v>
      </c>
      <c r="L27" s="589"/>
      <c r="M27" s="589"/>
      <c r="N27" s="589"/>
      <c r="O27" s="589"/>
      <c r="P27" s="589"/>
      <c r="Q27" s="589"/>
      <c r="R27" s="1026"/>
      <c r="S27" s="588"/>
      <c r="T27" s="589"/>
      <c r="U27" s="589"/>
      <c r="V27" s="589"/>
      <c r="W27" s="937">
        <v>120</v>
      </c>
      <c r="X27" s="937">
        <v>120</v>
      </c>
      <c r="Y27" s="74">
        <v>120</v>
      </c>
      <c r="Z27" s="857">
        <f t="shared" si="7"/>
        <v>0</v>
      </c>
      <c r="AA27" s="588">
        <f t="shared" si="5"/>
        <v>0</v>
      </c>
    </row>
    <row r="28" spans="1:27" ht="29.25" customHeight="1" thickBot="1">
      <c r="A28" s="59">
        <v>7</v>
      </c>
      <c r="B28" s="86" t="s">
        <v>534</v>
      </c>
      <c r="C28" s="582" t="s">
        <v>221</v>
      </c>
      <c r="D28" s="584"/>
      <c r="E28" s="584"/>
      <c r="F28" s="584"/>
      <c r="G28" s="937">
        <f>120+32</f>
        <v>152</v>
      </c>
      <c r="H28" s="937">
        <f>120+32</f>
        <v>152</v>
      </c>
      <c r="I28" s="937">
        <f>120+32</f>
        <v>152</v>
      </c>
      <c r="J28" s="937">
        <v>152</v>
      </c>
      <c r="K28" s="588">
        <f t="shared" si="3"/>
        <v>1</v>
      </c>
      <c r="L28" s="589"/>
      <c r="M28" s="589"/>
      <c r="N28" s="589"/>
      <c r="O28" s="589"/>
      <c r="P28" s="589"/>
      <c r="Q28" s="589"/>
      <c r="R28" s="1026"/>
      <c r="S28" s="588"/>
      <c r="T28" s="589"/>
      <c r="U28" s="589"/>
      <c r="V28" s="589"/>
      <c r="W28" s="937">
        <f>120+32</f>
        <v>152</v>
      </c>
      <c r="X28" s="937">
        <f>120+32</f>
        <v>152</v>
      </c>
      <c r="Y28" s="74">
        <f>120+32</f>
        <v>152</v>
      </c>
      <c r="Z28" s="857">
        <f t="shared" si="7"/>
        <v>152</v>
      </c>
      <c r="AA28" s="588">
        <f t="shared" si="5"/>
        <v>1</v>
      </c>
    </row>
    <row r="29" spans="1:27" ht="29.25" customHeight="1" hidden="1">
      <c r="A29" s="59">
        <v>8</v>
      </c>
      <c r="B29" s="86"/>
      <c r="C29" s="582" t="s">
        <v>221</v>
      </c>
      <c r="D29" s="584"/>
      <c r="E29" s="584"/>
      <c r="F29" s="584"/>
      <c r="G29" s="74"/>
      <c r="H29" s="937"/>
      <c r="I29" s="937"/>
      <c r="J29" s="937"/>
      <c r="K29" s="588"/>
      <c r="L29" s="589"/>
      <c r="M29" s="589"/>
      <c r="N29" s="589"/>
      <c r="O29" s="589"/>
      <c r="P29" s="938"/>
      <c r="Q29" s="938"/>
      <c r="R29" s="938"/>
      <c r="S29" s="588"/>
      <c r="T29" s="589"/>
      <c r="U29" s="589"/>
      <c r="V29" s="589"/>
      <c r="W29" s="589"/>
      <c r="X29" s="938"/>
      <c r="Y29" s="938"/>
      <c r="Z29" s="938"/>
      <c r="AA29" s="588"/>
    </row>
    <row r="30" spans="1:27" ht="29.25" customHeight="1" hidden="1">
      <c r="A30" s="59">
        <v>9</v>
      </c>
      <c r="B30" s="86"/>
      <c r="C30" s="582"/>
      <c r="D30" s="584"/>
      <c r="E30" s="584"/>
      <c r="F30" s="584"/>
      <c r="G30" s="74"/>
      <c r="H30" s="937"/>
      <c r="I30" s="937"/>
      <c r="J30" s="937"/>
      <c r="K30" s="588" t="e">
        <f>G30/E30</f>
        <v>#DIV/0!</v>
      </c>
      <c r="L30" s="589"/>
      <c r="M30" s="589"/>
      <c r="N30" s="589"/>
      <c r="O30" s="589"/>
      <c r="P30" s="937"/>
      <c r="Q30" s="937"/>
      <c r="R30" s="937"/>
      <c r="S30" s="588" t="e">
        <f>O30/M30</f>
        <v>#DIV/0!</v>
      </c>
      <c r="T30" s="589"/>
      <c r="U30" s="589"/>
      <c r="V30" s="589"/>
      <c r="W30" s="589"/>
      <c r="X30" s="937"/>
      <c r="Y30" s="937"/>
      <c r="Z30" s="937"/>
      <c r="AA30" s="588" t="e">
        <f>W30/U30</f>
        <v>#DIV/0!</v>
      </c>
    </row>
    <row r="31" spans="1:27" ht="29.25" customHeight="1" hidden="1" thickBot="1">
      <c r="A31" s="59">
        <v>10</v>
      </c>
      <c r="B31" s="92"/>
      <c r="C31" s="576"/>
      <c r="D31" s="584"/>
      <c r="E31" s="584"/>
      <c r="F31" s="584"/>
      <c r="G31" s="74"/>
      <c r="H31" s="937"/>
      <c r="I31" s="937"/>
      <c r="J31" s="937"/>
      <c r="K31" s="588" t="e">
        <f>G31/E31</f>
        <v>#DIV/0!</v>
      </c>
      <c r="L31" s="589"/>
      <c r="M31" s="589"/>
      <c r="N31" s="589"/>
      <c r="O31" s="589"/>
      <c r="P31" s="937"/>
      <c r="Q31" s="937"/>
      <c r="R31" s="937"/>
      <c r="S31" s="588" t="e">
        <f>O31/M31</f>
        <v>#DIV/0!</v>
      </c>
      <c r="T31" s="589"/>
      <c r="U31" s="589"/>
      <c r="V31" s="589"/>
      <c r="W31" s="589"/>
      <c r="X31" s="937"/>
      <c r="Y31" s="937"/>
      <c r="Z31" s="937"/>
      <c r="AA31" s="588" t="e">
        <f>W31/U31</f>
        <v>#DIV/0!</v>
      </c>
    </row>
    <row r="32" spans="1:27" ht="29.25" customHeight="1" thickBot="1">
      <c r="A32" s="1203" t="s">
        <v>1</v>
      </c>
      <c r="B32" s="1204"/>
      <c r="C32" s="578"/>
      <c r="D32" s="593">
        <f aca="true" t="shared" si="8" ref="D32:J32">SUM(D22:D31)</f>
        <v>68030</v>
      </c>
      <c r="E32" s="593">
        <f t="shared" si="8"/>
        <v>68030</v>
      </c>
      <c r="F32" s="593">
        <f t="shared" si="8"/>
        <v>66531</v>
      </c>
      <c r="G32" s="859">
        <f t="shared" si="8"/>
        <v>66380</v>
      </c>
      <c r="H32" s="859">
        <f t="shared" si="8"/>
        <v>66382</v>
      </c>
      <c r="I32" s="859">
        <f t="shared" si="8"/>
        <v>66382</v>
      </c>
      <c r="J32" s="859">
        <f t="shared" si="8"/>
        <v>65503</v>
      </c>
      <c r="K32" s="856">
        <f>J32/I32</f>
        <v>0.9867584586183001</v>
      </c>
      <c r="L32" s="593">
        <f aca="true" t="shared" si="9" ref="L32:R32">SUM(L22:L31)</f>
        <v>34721</v>
      </c>
      <c r="M32" s="593">
        <f t="shared" si="9"/>
        <v>34721</v>
      </c>
      <c r="N32" s="593">
        <f t="shared" si="9"/>
        <v>34721</v>
      </c>
      <c r="O32" s="593">
        <f t="shared" si="9"/>
        <v>34721</v>
      </c>
      <c r="P32" s="593">
        <f t="shared" si="9"/>
        <v>34721</v>
      </c>
      <c r="Q32" s="593">
        <f t="shared" si="9"/>
        <v>34680</v>
      </c>
      <c r="R32" s="593">
        <f t="shared" si="9"/>
        <v>28680</v>
      </c>
      <c r="S32" s="856">
        <f>R32/Q32</f>
        <v>0.8269896193771626</v>
      </c>
      <c r="T32" s="593">
        <f aca="true" t="shared" si="10" ref="T32:Z32">SUM(T22:T31)</f>
        <v>33309</v>
      </c>
      <c r="U32" s="593">
        <f t="shared" si="10"/>
        <v>33309</v>
      </c>
      <c r="V32" s="593">
        <f t="shared" si="10"/>
        <v>31810</v>
      </c>
      <c r="W32" s="593">
        <f t="shared" si="10"/>
        <v>31659</v>
      </c>
      <c r="X32" s="593">
        <f t="shared" si="10"/>
        <v>31663</v>
      </c>
      <c r="Y32" s="593">
        <f t="shared" si="10"/>
        <v>31702</v>
      </c>
      <c r="Z32" s="593">
        <f t="shared" si="10"/>
        <v>36823</v>
      </c>
      <c r="AA32" s="856">
        <f>Z32/Y32</f>
        <v>1.1615355498075832</v>
      </c>
    </row>
    <row r="34" spans="12:20" ht="12.75">
      <c r="L34" s="78"/>
      <c r="M34" s="78"/>
      <c r="N34" s="78"/>
      <c r="O34" s="78"/>
      <c r="P34" s="78"/>
      <c r="Q34" s="78"/>
      <c r="R34" s="78"/>
      <c r="S34" s="78"/>
      <c r="T34" s="78"/>
    </row>
  </sheetData>
  <sheetProtection/>
  <mergeCells count="10">
    <mergeCell ref="D20:K20"/>
    <mergeCell ref="L20:S20"/>
    <mergeCell ref="T20:AA20"/>
    <mergeCell ref="A32:B32"/>
    <mergeCell ref="A1:T1"/>
    <mergeCell ref="D3:K3"/>
    <mergeCell ref="L3:S3"/>
    <mergeCell ref="T3:AA3"/>
    <mergeCell ref="A16:B16"/>
    <mergeCell ref="A18:T18"/>
  </mergeCells>
  <printOptions horizontalCentered="1"/>
  <pageMargins left="0.5905511811023623" right="0.5905511811023623" top="0.7874015748031497" bottom="0.7874015748031497" header="0.5118110236220472" footer="0.31496062992125984"/>
  <pageSetup fitToHeight="1" fitToWidth="1" horizontalDpi="300" verticalDpi="300" orientation="landscape" paperSize="9" scale="56" r:id="rId1"/>
  <headerFooter alignWithMargins="0">
    <oddHeader>&amp;CÖNKORMÁNYZATI BERUHÁZÁSOK ÉS FELÚJÍTÁSOK
2015.
&amp;R&amp;"Arial CE,Félkövér dőlt"6/a számú melléklet&amp;"Arial CE,Normál"
</oddHeader>
  </headerFooter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zoomScale="70" zoomScaleNormal="70" workbookViewId="0" topLeftCell="A1">
      <selection activeCell="L10" sqref="L10"/>
    </sheetView>
  </sheetViews>
  <sheetFormatPr defaultColWidth="9.140625" defaultRowHeight="12.75"/>
  <cols>
    <col min="1" max="1" width="6.57421875" style="9" customWidth="1"/>
    <col min="2" max="2" width="26.7109375" style="18" customWidth="1"/>
    <col min="3" max="3" width="28.28125" style="18" customWidth="1"/>
    <col min="4" max="4" width="5.00390625" style="9" customWidth="1"/>
    <col min="5" max="5" width="14.57421875" style="9" customWidth="1"/>
    <col min="6" max="6" width="14.57421875" style="9" hidden="1" customWidth="1"/>
    <col min="7" max="8" width="11.8515625" style="9" hidden="1" customWidth="1"/>
    <col min="9" max="9" width="9.28125" style="9" hidden="1" customWidth="1"/>
    <col min="10" max="10" width="11.8515625" style="9" customWidth="1"/>
    <col min="11" max="11" width="9.28125" style="9" bestFit="1" customWidth="1"/>
    <col min="12" max="12" width="19.8515625" style="9" bestFit="1" customWidth="1"/>
    <col min="13" max="16384" width="9.140625" style="9" customWidth="1"/>
  </cols>
  <sheetData>
    <row r="1" spans="2:6" ht="12.75">
      <c r="B1" s="44"/>
      <c r="D1" s="1209" t="s">
        <v>574</v>
      </c>
      <c r="E1" s="1209"/>
      <c r="F1" s="12"/>
    </row>
    <row r="2" ht="12.75">
      <c r="B2" s="44"/>
    </row>
    <row r="3" spans="1:6" ht="18">
      <c r="A3" s="1210" t="s">
        <v>61</v>
      </c>
      <c r="B3" s="1210"/>
      <c r="C3" s="1210"/>
      <c r="D3" s="1210"/>
      <c r="E3" s="1210"/>
      <c r="F3" s="17"/>
    </row>
    <row r="4" spans="1:6" ht="18">
      <c r="A4" s="1210" t="s">
        <v>17</v>
      </c>
      <c r="B4" s="1210"/>
      <c r="C4" s="1210"/>
      <c r="D4" s="1210"/>
      <c r="E4" s="1210"/>
      <c r="F4" s="17"/>
    </row>
    <row r="5" spans="1:6" ht="18">
      <c r="A5" s="17"/>
      <c r="B5" s="33"/>
      <c r="C5" s="33"/>
      <c r="D5" s="17"/>
      <c r="E5" s="17"/>
      <c r="F5" s="17"/>
    </row>
    <row r="6" spans="1:6" ht="15.75">
      <c r="A6" s="1211" t="s">
        <v>507</v>
      </c>
      <c r="B6" s="1211"/>
      <c r="C6" s="1211"/>
      <c r="D6" s="1211"/>
      <c r="E6" s="1211"/>
      <c r="F6" s="10"/>
    </row>
    <row r="7" spans="1:8" ht="16.5" thickBot="1">
      <c r="A7" s="11"/>
      <c r="B7" s="45"/>
      <c r="C7" s="34"/>
      <c r="D7" s="10"/>
      <c r="E7" s="661" t="s">
        <v>373</v>
      </c>
      <c r="F7" s="24"/>
      <c r="G7" s="24" t="s">
        <v>2</v>
      </c>
      <c r="H7" s="24"/>
    </row>
    <row r="8" spans="1:12" ht="45.75" customHeight="1" thickBot="1">
      <c r="A8" s="21" t="s">
        <v>20</v>
      </c>
      <c r="B8" s="35" t="s">
        <v>18</v>
      </c>
      <c r="C8" s="35" t="s">
        <v>19</v>
      </c>
      <c r="D8" s="860" t="s">
        <v>33</v>
      </c>
      <c r="E8" s="866" t="s">
        <v>219</v>
      </c>
      <c r="F8" s="35" t="s">
        <v>245</v>
      </c>
      <c r="G8" s="35" t="s">
        <v>248</v>
      </c>
      <c r="H8" s="35" t="s">
        <v>251</v>
      </c>
      <c r="I8" s="35" t="s">
        <v>267</v>
      </c>
      <c r="J8" s="35" t="s">
        <v>271</v>
      </c>
      <c r="K8" s="35" t="s">
        <v>254</v>
      </c>
      <c r="L8" s="35" t="s">
        <v>255</v>
      </c>
    </row>
    <row r="9" spans="1:12" s="16" customFormat="1" ht="30" customHeight="1">
      <c r="A9" s="29">
        <v>1</v>
      </c>
      <c r="B9" s="36" t="s">
        <v>371</v>
      </c>
      <c r="C9" s="36" t="s">
        <v>372</v>
      </c>
      <c r="D9" s="861" t="s">
        <v>15</v>
      </c>
      <c r="E9" s="867">
        <v>889</v>
      </c>
      <c r="F9" s="867">
        <v>889</v>
      </c>
      <c r="G9" s="867">
        <v>889</v>
      </c>
      <c r="H9" s="867">
        <v>889</v>
      </c>
      <c r="I9" s="867">
        <v>889</v>
      </c>
      <c r="J9" s="867">
        <v>296</v>
      </c>
      <c r="K9" s="867">
        <v>296</v>
      </c>
      <c r="L9" s="1031">
        <f>K9/J9</f>
        <v>1</v>
      </c>
    </row>
    <row r="10" spans="1:12" ht="30" customHeight="1">
      <c r="A10" s="39">
        <v>2</v>
      </c>
      <c r="B10" s="46" t="s">
        <v>228</v>
      </c>
      <c r="C10" s="40" t="s">
        <v>490</v>
      </c>
      <c r="D10" s="862" t="s">
        <v>15</v>
      </c>
      <c r="E10" s="868">
        <v>953</v>
      </c>
      <c r="F10" s="868">
        <v>953</v>
      </c>
      <c r="G10" s="868">
        <v>203</v>
      </c>
      <c r="H10" s="868">
        <v>203</v>
      </c>
      <c r="I10" s="868">
        <v>203</v>
      </c>
      <c r="J10" s="868">
        <v>0</v>
      </c>
      <c r="K10" s="868"/>
      <c r="L10" s="1032"/>
    </row>
    <row r="11" spans="1:12" ht="30" customHeight="1">
      <c r="A11" s="39">
        <v>3</v>
      </c>
      <c r="B11" s="46" t="s">
        <v>228</v>
      </c>
      <c r="C11" s="660" t="s">
        <v>491</v>
      </c>
      <c r="D11" s="862" t="s">
        <v>15</v>
      </c>
      <c r="E11" s="868">
        <v>165</v>
      </c>
      <c r="F11" s="868">
        <v>165</v>
      </c>
      <c r="G11" s="868">
        <v>165</v>
      </c>
      <c r="H11" s="868">
        <v>165</v>
      </c>
      <c r="I11" s="868">
        <v>165</v>
      </c>
      <c r="J11" s="868">
        <v>165</v>
      </c>
      <c r="K11" s="868">
        <v>106</v>
      </c>
      <c r="L11" s="1032">
        <f aca="true" t="shared" si="0" ref="L11:L18">K11/J11</f>
        <v>0.6424242424242425</v>
      </c>
    </row>
    <row r="12" spans="1:12" ht="30" customHeight="1">
      <c r="A12" s="41">
        <v>4</v>
      </c>
      <c r="B12" s="46" t="s">
        <v>228</v>
      </c>
      <c r="C12" s="66" t="s">
        <v>492</v>
      </c>
      <c r="D12" s="863" t="s">
        <v>15</v>
      </c>
      <c r="E12" s="869">
        <v>190</v>
      </c>
      <c r="F12" s="869">
        <v>190</v>
      </c>
      <c r="G12" s="869">
        <v>190</v>
      </c>
      <c r="H12" s="869">
        <v>190</v>
      </c>
      <c r="I12" s="869">
        <v>190</v>
      </c>
      <c r="J12" s="870">
        <v>151</v>
      </c>
      <c r="K12" s="870">
        <v>151</v>
      </c>
      <c r="L12" s="1033">
        <f t="shared" si="0"/>
        <v>1</v>
      </c>
    </row>
    <row r="13" spans="1:12" ht="30" customHeight="1">
      <c r="A13" s="39">
        <v>5</v>
      </c>
      <c r="B13" s="46" t="s">
        <v>228</v>
      </c>
      <c r="C13" s="66" t="s">
        <v>547</v>
      </c>
      <c r="D13" s="863" t="s">
        <v>15</v>
      </c>
      <c r="E13" s="869"/>
      <c r="F13" s="869"/>
      <c r="G13" s="869"/>
      <c r="H13" s="869"/>
      <c r="I13" s="869"/>
      <c r="J13" s="870">
        <v>141</v>
      </c>
      <c r="K13" s="870">
        <v>141</v>
      </c>
      <c r="L13" s="1033">
        <f t="shared" si="0"/>
        <v>1</v>
      </c>
    </row>
    <row r="14" spans="1:12" ht="30" customHeight="1">
      <c r="A14" s="41">
        <v>6</v>
      </c>
      <c r="B14" s="46" t="s">
        <v>228</v>
      </c>
      <c r="C14" s="66" t="s">
        <v>493</v>
      </c>
      <c r="D14" s="864" t="s">
        <v>15</v>
      </c>
      <c r="E14" s="870">
        <v>152</v>
      </c>
      <c r="F14" s="870">
        <v>152</v>
      </c>
      <c r="G14" s="870">
        <v>152</v>
      </c>
      <c r="H14" s="870">
        <v>152</v>
      </c>
      <c r="I14" s="870">
        <v>152</v>
      </c>
      <c r="J14" s="870">
        <v>0</v>
      </c>
      <c r="K14" s="870"/>
      <c r="L14" s="1033"/>
    </row>
    <row r="15" spans="1:12" ht="36.75" customHeight="1">
      <c r="A15" s="39">
        <v>7</v>
      </c>
      <c r="B15" s="46" t="s">
        <v>228</v>
      </c>
      <c r="C15" s="66" t="s">
        <v>494</v>
      </c>
      <c r="D15" s="864" t="s">
        <v>15</v>
      </c>
      <c r="E15" s="870">
        <v>127</v>
      </c>
      <c r="F15" s="870">
        <v>127</v>
      </c>
      <c r="G15" s="870">
        <v>127</v>
      </c>
      <c r="H15" s="870">
        <v>127</v>
      </c>
      <c r="I15" s="870">
        <v>127</v>
      </c>
      <c r="J15" s="870">
        <v>0</v>
      </c>
      <c r="K15" s="870"/>
      <c r="L15" s="1033"/>
    </row>
    <row r="16" spans="1:12" ht="36.75" customHeight="1" thickBot="1">
      <c r="A16" s="39">
        <v>7</v>
      </c>
      <c r="B16" s="46" t="s">
        <v>228</v>
      </c>
      <c r="C16" s="66" t="s">
        <v>564</v>
      </c>
      <c r="D16" s="864" t="s">
        <v>15</v>
      </c>
      <c r="E16" s="870"/>
      <c r="F16" s="870"/>
      <c r="G16" s="870"/>
      <c r="H16" s="870"/>
      <c r="I16" s="870"/>
      <c r="J16" s="870"/>
      <c r="K16" s="870">
        <v>58</v>
      </c>
      <c r="L16" s="1033"/>
    </row>
    <row r="17" spans="1:12" ht="36.75" customHeight="1" hidden="1" thickBot="1">
      <c r="A17" s="67"/>
      <c r="B17" s="66"/>
      <c r="C17" s="66"/>
      <c r="D17" s="864" t="s">
        <v>16</v>
      </c>
      <c r="E17" s="870"/>
      <c r="F17" s="870"/>
      <c r="G17" s="870"/>
      <c r="H17" s="870"/>
      <c r="I17" s="870"/>
      <c r="J17" s="870"/>
      <c r="K17" s="870"/>
      <c r="L17" s="1033" t="e">
        <f t="shared" si="0"/>
        <v>#DIV/0!</v>
      </c>
    </row>
    <row r="18" spans="1:12" s="38" customFormat="1" ht="30" customHeight="1" thickBot="1">
      <c r="A18" s="1207" t="s">
        <v>1</v>
      </c>
      <c r="B18" s="1208"/>
      <c r="C18" s="37"/>
      <c r="D18" s="865"/>
      <c r="E18" s="871">
        <f aca="true" t="shared" si="1" ref="E18:J18">SUM(E9:E17)</f>
        <v>2476</v>
      </c>
      <c r="F18" s="871">
        <f t="shared" si="1"/>
        <v>2476</v>
      </c>
      <c r="G18" s="871">
        <f t="shared" si="1"/>
        <v>1726</v>
      </c>
      <c r="H18" s="871">
        <f t="shared" si="1"/>
        <v>1726</v>
      </c>
      <c r="I18" s="871">
        <f t="shared" si="1"/>
        <v>1726</v>
      </c>
      <c r="J18" s="871">
        <f t="shared" si="1"/>
        <v>753</v>
      </c>
      <c r="K18" s="871">
        <f>SUM(K9:K17)</f>
        <v>752</v>
      </c>
      <c r="L18" s="1034">
        <f t="shared" si="0"/>
        <v>0.99867197875166</v>
      </c>
    </row>
  </sheetData>
  <sheetProtection/>
  <mergeCells count="5">
    <mergeCell ref="A18:B18"/>
    <mergeCell ref="D1:E1"/>
    <mergeCell ref="A3:E3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Reni</cp:lastModifiedBy>
  <cp:lastPrinted>2016-05-26T13:46:12Z</cp:lastPrinted>
  <dcterms:created xsi:type="dcterms:W3CDTF">2000-01-07T08:44:52Z</dcterms:created>
  <dcterms:modified xsi:type="dcterms:W3CDTF">2016-05-28T17:16:02Z</dcterms:modified>
  <cp:category/>
  <cp:version/>
  <cp:contentType/>
  <cp:contentStatus/>
</cp:coreProperties>
</file>